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TandL_Vault\Admin\Engineering Docs\Davenport\"/>
    </mc:Choice>
  </mc:AlternateContent>
  <xr:revisionPtr revIDLastSave="0" documentId="13_ncr:1_{09AF894A-E5E4-41A0-9607-F7F416122511}" xr6:coauthVersionLast="47" xr6:coauthVersionMax="47" xr10:uidLastSave="{00000000-0000-0000-0000-000000000000}"/>
  <bookViews>
    <workbookView xWindow="-120" yWindow="-120" windowWidth="29040" windowHeight="16440" xr2:uid="{AD657C62-5533-4B57-9C26-0E0B22791629}"/>
  </bookViews>
  <sheets>
    <sheet name="Jobs" sheetId="27" r:id="rId1"/>
    <sheet name="Machines" sheetId="28" r:id="rId2"/>
  </sheets>
  <definedNames>
    <definedName name="_xlnm.Print_Area" localSheetId="0">Table2[#All]</definedName>
    <definedName name="_xlnm.Print_Area" localSheetId="1">Table3[#All]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27" l="1"/>
  <c r="J42" i="27"/>
  <c r="J35" i="27"/>
  <c r="J22" i="27"/>
  <c r="J10" i="27"/>
  <c r="J96" i="27"/>
  <c r="J95" i="27"/>
  <c r="J94" i="27"/>
  <c r="J58" i="27"/>
  <c r="J62" i="27"/>
  <c r="J11" i="27"/>
  <c r="J13" i="27"/>
  <c r="J14" i="27"/>
  <c r="J12" i="27"/>
  <c r="J15" i="27"/>
  <c r="J16" i="27"/>
  <c r="J17" i="27"/>
  <c r="J18" i="27"/>
  <c r="J19" i="27"/>
  <c r="J20" i="27"/>
  <c r="J21" i="27"/>
  <c r="J36" i="27"/>
  <c r="J37" i="27"/>
  <c r="J38" i="27"/>
  <c r="J39" i="27"/>
  <c r="J40" i="27"/>
  <c r="H22" i="28" s="1"/>
  <c r="J41" i="27"/>
  <c r="H23" i="28" s="1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9" i="27"/>
  <c r="H30" i="28" s="1"/>
  <c r="J61" i="27"/>
  <c r="J60" i="27"/>
  <c r="J63" i="27"/>
  <c r="H32" i="28" s="1"/>
  <c r="J65" i="27"/>
  <c r="J66" i="27"/>
  <c r="J67" i="27"/>
  <c r="J68" i="27"/>
  <c r="J69" i="27"/>
  <c r="J70" i="27"/>
  <c r="J71" i="27"/>
  <c r="J72" i="27"/>
  <c r="J73" i="27"/>
  <c r="J74" i="27"/>
  <c r="H36" i="28" s="1"/>
  <c r="J75" i="27"/>
  <c r="J76" i="27"/>
  <c r="J78" i="27"/>
  <c r="J80" i="27"/>
  <c r="J81" i="27"/>
  <c r="J77" i="27"/>
  <c r="J82" i="27"/>
  <c r="J83" i="27"/>
  <c r="J84" i="27"/>
  <c r="J86" i="27"/>
  <c r="J85" i="27"/>
  <c r="J87" i="27"/>
  <c r="J88" i="27"/>
  <c r="J90" i="27"/>
  <c r="J89" i="27"/>
  <c r="J91" i="27"/>
  <c r="J92" i="27"/>
  <c r="J93" i="27"/>
  <c r="H42" i="28" s="1"/>
  <c r="J79" i="27"/>
  <c r="J23" i="27"/>
  <c r="H11" i="28" s="1"/>
  <c r="J24" i="27"/>
  <c r="J25" i="27"/>
  <c r="J26" i="27"/>
  <c r="H13" i="28" s="1"/>
  <c r="J27" i="27"/>
  <c r="H14" i="28" s="1"/>
  <c r="J28" i="27"/>
  <c r="H15" i="28" s="1"/>
  <c r="J29" i="27"/>
  <c r="H16" i="28" s="1"/>
  <c r="J30" i="27"/>
  <c r="H17" i="28" s="1"/>
  <c r="J31" i="27"/>
  <c r="J32" i="27"/>
  <c r="J33" i="27"/>
  <c r="H19" i="28" s="1"/>
  <c r="J34" i="27"/>
  <c r="H20" i="28" s="1"/>
  <c r="J2" i="27"/>
  <c r="H2" i="28" s="1"/>
  <c r="J3" i="27"/>
  <c r="H3" i="28" s="1"/>
  <c r="J4" i="27"/>
  <c r="H4" i="28" s="1"/>
  <c r="J6" i="27"/>
  <c r="J7" i="27"/>
  <c r="J5" i="27"/>
  <c r="J8" i="27"/>
  <c r="H6" i="28" s="1"/>
  <c r="J9" i="27"/>
  <c r="H7" i="28" s="1"/>
  <c r="J97" i="27"/>
  <c r="G2" i="28"/>
  <c r="G3" i="28"/>
  <c r="G4" i="28"/>
  <c r="G5" i="28"/>
  <c r="G6" i="28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D2" i="28"/>
  <c r="D3" i="28"/>
  <c r="D4" i="28"/>
  <c r="D5" i="28"/>
  <c r="D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29" i="28"/>
  <c r="D30" i="28"/>
  <c r="D31" i="28"/>
  <c r="D32" i="28"/>
  <c r="D33" i="28"/>
  <c r="D34" i="28"/>
  <c r="D35" i="28"/>
  <c r="D36" i="28"/>
  <c r="D37" i="28"/>
  <c r="D38" i="28"/>
  <c r="D39" i="28"/>
  <c r="D40" i="28"/>
  <c r="D41" i="28"/>
  <c r="D42" i="28"/>
  <c r="E2" i="28"/>
  <c r="E3" i="28"/>
  <c r="E4" i="28"/>
  <c r="E5" i="28"/>
  <c r="E6" i="28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5" i="28"/>
  <c r="I4" i="28"/>
  <c r="I3" i="28"/>
  <c r="I6" i="28"/>
  <c r="I2" i="28"/>
  <c r="I23" i="28"/>
  <c r="I22" i="28"/>
  <c r="I21" i="28"/>
  <c r="H12" i="28" l="1"/>
  <c r="F40" i="28"/>
  <c r="F28" i="28"/>
  <c r="F16" i="28"/>
  <c r="F4" i="28"/>
  <c r="F42" i="28"/>
  <c r="H37" i="28"/>
  <c r="F30" i="28"/>
  <c r="F18" i="28"/>
  <c r="F6" i="28"/>
  <c r="H18" i="28"/>
  <c r="H28" i="28"/>
  <c r="H9" i="28"/>
  <c r="F19" i="28"/>
  <c r="F7" i="28"/>
  <c r="F32" i="28"/>
  <c r="F20" i="28"/>
  <c r="F8" i="28"/>
  <c r="F25" i="28"/>
  <c r="F13" i="28"/>
  <c r="F37" i="28"/>
  <c r="F41" i="28"/>
  <c r="F29" i="28"/>
  <c r="F17" i="28"/>
  <c r="F5" i="28"/>
  <c r="F39" i="28"/>
  <c r="F27" i="28"/>
  <c r="F15" i="28"/>
  <c r="F3" i="28"/>
  <c r="H41" i="28"/>
  <c r="H33" i="28"/>
  <c r="H27" i="28"/>
  <c r="H26" i="28"/>
  <c r="H25" i="28"/>
  <c r="H39" i="28"/>
  <c r="H29" i="28"/>
  <c r="H24" i="28"/>
  <c r="H10" i="28"/>
  <c r="F38" i="28"/>
  <c r="F26" i="28"/>
  <c r="F14" i="28"/>
  <c r="F2" i="28"/>
  <c r="H38" i="28"/>
  <c r="H34" i="28"/>
  <c r="H35" i="28"/>
  <c r="H5" i="28"/>
  <c r="F34" i="28"/>
  <c r="F22" i="28"/>
  <c r="F10" i="28"/>
  <c r="F33" i="28"/>
  <c r="F21" i="28"/>
  <c r="F9" i="28"/>
  <c r="H40" i="28"/>
  <c r="H31" i="28"/>
  <c r="H21" i="28"/>
  <c r="H8" i="28"/>
  <c r="F35" i="28"/>
  <c r="F23" i="28"/>
  <c r="F11" i="28"/>
  <c r="F36" i="28"/>
  <c r="F24" i="28"/>
  <c r="F12" i="28"/>
  <c r="F31" i="28"/>
  <c r="W4" i="28"/>
  <c r="W5" i="28"/>
  <c r="W6" i="28"/>
  <c r="W7" i="28"/>
  <c r="W8" i="28"/>
  <c r="W9" i="28"/>
  <c r="W10" i="28"/>
  <c r="W3" i="28"/>
  <c r="U11" i="28"/>
  <c r="U3" i="28"/>
  <c r="U4" i="28"/>
  <c r="U5" i="28"/>
  <c r="U6" i="28"/>
  <c r="U7" i="28"/>
  <c r="U8" i="28"/>
  <c r="U9" i="28"/>
  <c r="U10" i="28"/>
  <c r="V3" i="28"/>
  <c r="V4" i="28"/>
  <c r="V5" i="28"/>
  <c r="V6" i="28"/>
  <c r="V7" i="28"/>
  <c r="V8" i="28"/>
  <c r="V9" i="28"/>
  <c r="V10" i="28"/>
</calcChain>
</file>

<file path=xl/sharedStrings.xml><?xml version="1.0" encoding="utf-8"?>
<sst xmlns="http://schemas.openxmlformats.org/spreadsheetml/2006/main" count="711" uniqueCount="190">
  <si>
    <t>Job</t>
  </si>
  <si>
    <t>Size</t>
  </si>
  <si>
    <t>Bed</t>
  </si>
  <si>
    <t>Mill</t>
  </si>
  <si>
    <t>Skive</t>
  </si>
  <si>
    <t>Knurl</t>
  </si>
  <si>
    <t>006</t>
  </si>
  <si>
    <t>121</t>
  </si>
  <si>
    <t>146</t>
  </si>
  <si>
    <t>138</t>
  </si>
  <si>
    <t>247</t>
  </si>
  <si>
    <t>306</t>
  </si>
  <si>
    <t>005</t>
  </si>
  <si>
    <t>064</t>
  </si>
  <si>
    <t>253</t>
  </si>
  <si>
    <t>302</t>
  </si>
  <si>
    <t>314</t>
  </si>
  <si>
    <t>316</t>
  </si>
  <si>
    <t>075</t>
  </si>
  <si>
    <t>324</t>
  </si>
  <si>
    <t>105</t>
  </si>
  <si>
    <t>126</t>
  </si>
  <si>
    <t>022</t>
  </si>
  <si>
    <t>113</t>
  </si>
  <si>
    <t>420</t>
  </si>
  <si>
    <t>069</t>
  </si>
  <si>
    <t>037</t>
  </si>
  <si>
    <t>381</t>
  </si>
  <si>
    <t>052</t>
  </si>
  <si>
    <t>085</t>
  </si>
  <si>
    <t>485</t>
  </si>
  <si>
    <t>318</t>
  </si>
  <si>
    <t>327</t>
  </si>
  <si>
    <t>145</t>
  </si>
  <si>
    <t>422</t>
  </si>
  <si>
    <t>456</t>
  </si>
  <si>
    <t>474</t>
  </si>
  <si>
    <t>478</t>
  </si>
  <si>
    <t>317</t>
  </si>
  <si>
    <t>254</t>
  </si>
  <si>
    <t>311</t>
  </si>
  <si>
    <t>315</t>
  </si>
  <si>
    <t>459</t>
  </si>
  <si>
    <t>479</t>
  </si>
  <si>
    <t>486</t>
  </si>
  <si>
    <t>470</t>
  </si>
  <si>
    <t>404</t>
  </si>
  <si>
    <t>251</t>
  </si>
  <si>
    <t>099</t>
  </si>
  <si>
    <t>050</t>
  </si>
  <si>
    <t>433</t>
  </si>
  <si>
    <t>036</t>
  </si>
  <si>
    <t>200</t>
  </si>
  <si>
    <t>205</t>
  </si>
  <si>
    <t>244</t>
  </si>
  <si>
    <t>9/16</t>
  </si>
  <si>
    <t>N</t>
  </si>
  <si>
    <t>Y</t>
  </si>
  <si>
    <t>3rd Pos</t>
  </si>
  <si>
    <t>Thd</t>
  </si>
  <si>
    <t>3rd POS</t>
  </si>
  <si>
    <t>Ext</t>
  </si>
  <si>
    <t>11/16</t>
  </si>
  <si>
    <t>.630</t>
  </si>
  <si>
    <t>Drill</t>
  </si>
  <si>
    <t>2nd Pos</t>
  </si>
  <si>
    <t>41/64</t>
  </si>
  <si>
    <t>5/8 H</t>
  </si>
  <si>
    <t>33/64</t>
  </si>
  <si>
    <t>Shave</t>
  </si>
  <si>
    <t>Reg</t>
  </si>
  <si>
    <t>1/2</t>
  </si>
  <si>
    <t>17/32</t>
  </si>
  <si>
    <t>Ext Thd</t>
  </si>
  <si>
    <t>17mm H</t>
  </si>
  <si>
    <t>Mach#</t>
  </si>
  <si>
    <t>C40</t>
  </si>
  <si>
    <t>C42</t>
  </si>
  <si>
    <t>C44</t>
  </si>
  <si>
    <t>C46</t>
  </si>
  <si>
    <t>C48</t>
  </si>
  <si>
    <t>C50</t>
  </si>
  <si>
    <t>C52</t>
  </si>
  <si>
    <t>C54</t>
  </si>
  <si>
    <t>C56</t>
  </si>
  <si>
    <t>C58</t>
  </si>
  <si>
    <t>C60</t>
  </si>
  <si>
    <t>C62</t>
  </si>
  <si>
    <t>C64</t>
  </si>
  <si>
    <t>C66</t>
  </si>
  <si>
    <t>C68</t>
  </si>
  <si>
    <t>C70</t>
  </si>
  <si>
    <t>C72</t>
  </si>
  <si>
    <t>C74</t>
  </si>
  <si>
    <t>C76</t>
  </si>
  <si>
    <t>Machine</t>
  </si>
  <si>
    <t>Collet</t>
  </si>
  <si>
    <t># Mach</t>
  </si>
  <si>
    <t># Jobs</t>
  </si>
  <si>
    <t>Blank</t>
  </si>
  <si>
    <t>QTY</t>
  </si>
  <si>
    <t>C30</t>
  </si>
  <si>
    <t>C32</t>
  </si>
  <si>
    <t>C34</t>
  </si>
  <si>
    <t>Bar</t>
  </si>
  <si>
    <t>A86</t>
  </si>
  <si>
    <t>A74</t>
  </si>
  <si>
    <t>A76</t>
  </si>
  <si>
    <t>039</t>
  </si>
  <si>
    <t>213</t>
  </si>
  <si>
    <t>403</t>
  </si>
  <si>
    <t>462</t>
  </si>
  <si>
    <t>142</t>
  </si>
  <si>
    <t>447</t>
  </si>
  <si>
    <t>093</t>
  </si>
  <si>
    <t>129</t>
  </si>
  <si>
    <t>267</t>
  </si>
  <si>
    <t>320</t>
  </si>
  <si>
    <t>.905</t>
  </si>
  <si>
    <t>3/4 H</t>
  </si>
  <si>
    <t>(Thd)</t>
  </si>
  <si>
    <t>Form</t>
  </si>
  <si>
    <t>43/64 H</t>
  </si>
  <si>
    <t>442</t>
  </si>
  <si>
    <t>3/4</t>
  </si>
  <si>
    <t>424</t>
  </si>
  <si>
    <t>7/8</t>
  </si>
  <si>
    <t>B02</t>
  </si>
  <si>
    <t>460</t>
  </si>
  <si>
    <t>B04</t>
  </si>
  <si>
    <t>378</t>
  </si>
  <si>
    <t>482</t>
  </si>
  <si>
    <t>5/8</t>
  </si>
  <si>
    <t>B06</t>
  </si>
  <si>
    <t>235</t>
  </si>
  <si>
    <t>B08</t>
  </si>
  <si>
    <t>045</t>
  </si>
  <si>
    <t>5/8 S</t>
  </si>
  <si>
    <t>B10</t>
  </si>
  <si>
    <t>451</t>
  </si>
  <si>
    <t>B12</t>
  </si>
  <si>
    <t>100</t>
  </si>
  <si>
    <t>B14</t>
  </si>
  <si>
    <t>300</t>
  </si>
  <si>
    <t>B16</t>
  </si>
  <si>
    <t>465</t>
  </si>
  <si>
    <t>B18</t>
  </si>
  <si>
    <t>463</t>
  </si>
  <si>
    <t>467</t>
  </si>
  <si>
    <t>496</t>
  </si>
  <si>
    <t>7/16</t>
  </si>
  <si>
    <t>B20</t>
  </si>
  <si>
    <t>060</t>
  </si>
  <si>
    <t>A52</t>
  </si>
  <si>
    <t>448</t>
  </si>
  <si>
    <t>7/16 SS</t>
  </si>
  <si>
    <t>A54</t>
  </si>
  <si>
    <t>107</t>
  </si>
  <si>
    <t>A56</t>
  </si>
  <si>
    <t>33/64 S</t>
  </si>
  <si>
    <t xml:space="preserve">1/2 </t>
  </si>
  <si>
    <t>A50</t>
  </si>
  <si>
    <t>A58</t>
  </si>
  <si>
    <t>Choke Tubes</t>
  </si>
  <si>
    <t>A60</t>
  </si>
  <si>
    <t>Choke Tube</t>
  </si>
  <si>
    <t>270</t>
  </si>
  <si>
    <t>225</t>
  </si>
  <si>
    <t>066</t>
  </si>
  <si>
    <t>.824</t>
  </si>
  <si>
    <t>Sup</t>
  </si>
  <si>
    <t>573</t>
  </si>
  <si>
    <t>152</t>
  </si>
  <si>
    <t>153</t>
  </si>
  <si>
    <t>22 Qty</t>
  </si>
  <si>
    <t>016</t>
  </si>
  <si>
    <t>PPH</t>
  </si>
  <si>
    <t>056</t>
  </si>
  <si>
    <t>AVG PPH</t>
  </si>
  <si>
    <t>ToT PPH</t>
  </si>
  <si>
    <t>Shifts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</si>
  <si>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PPH</t>
    </r>
  </si>
  <si>
    <t>Jobs on the same machine have more than 40pc/hr diff</t>
  </si>
  <si>
    <t>Jobs running under 600/hr</t>
  </si>
  <si>
    <t>116</t>
  </si>
  <si>
    <t>188</t>
  </si>
  <si>
    <t>405</t>
  </si>
  <si>
    <t>412</t>
  </si>
  <si>
    <t>414</t>
  </si>
  <si>
    <t>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</si>
</sst>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13" borderId="0" applyNumberFormat="0" applyBorder="0" applyAlignment="0" applyProtection="0"/>
  </cellStyleXfs>
  <cellXfs count="47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164" fontId="0" fillId="3" borderId="0" xfId="1" applyNumberFormat="1" applyFont="1" applyFill="1" applyAlignment="1">
      <alignment horizontal="center"/>
    </xf>
    <xf numFmtId="49" fontId="0" fillId="4" borderId="0" xfId="0" applyNumberFormat="1" applyFill="1" applyAlignment="1">
      <alignment horizontal="center"/>
    </xf>
    <xf numFmtId="164" fontId="0" fillId="4" borderId="0" xfId="1" applyNumberFormat="1" applyFont="1" applyFill="1" applyAlignment="1">
      <alignment horizontal="center"/>
    </xf>
    <xf numFmtId="49" fontId="0" fillId="5" borderId="0" xfId="0" applyNumberForma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9" fontId="0" fillId="6" borderId="0" xfId="0" applyNumberFormat="1" applyFill="1" applyAlignment="1">
      <alignment horizontal="center"/>
    </xf>
    <xf numFmtId="164" fontId="0" fillId="6" borderId="0" xfId="1" applyNumberFormat="1" applyFont="1" applyFill="1" applyAlignment="1">
      <alignment horizontal="center"/>
    </xf>
    <xf numFmtId="49" fontId="0" fillId="7" borderId="0" xfId="0" applyNumberFormat="1" applyFill="1" applyAlignment="1">
      <alignment horizontal="center"/>
    </xf>
    <xf numFmtId="164" fontId="0" fillId="7" borderId="0" xfId="1" applyNumberFormat="1" applyFont="1" applyFill="1" applyAlignment="1">
      <alignment horizontal="center"/>
    </xf>
    <xf numFmtId="49" fontId="0" fillId="8" borderId="0" xfId="0" applyNumberFormat="1" applyFill="1" applyAlignment="1">
      <alignment horizontal="center"/>
    </xf>
    <xf numFmtId="164" fontId="0" fillId="8" borderId="0" xfId="1" applyNumberFormat="1" applyFont="1" applyFill="1" applyAlignment="1">
      <alignment horizontal="center"/>
    </xf>
    <xf numFmtId="49" fontId="0" fillId="9" borderId="0" xfId="0" applyNumberFormat="1" applyFill="1" applyAlignment="1">
      <alignment horizontal="center"/>
    </xf>
    <xf numFmtId="164" fontId="0" fillId="9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49" fontId="0" fillId="10" borderId="0" xfId="0" applyNumberFormat="1" applyFill="1" applyAlignment="1">
      <alignment horizontal="center"/>
    </xf>
    <xf numFmtId="164" fontId="0" fillId="10" borderId="0" xfId="1" applyNumberFormat="1" applyFont="1" applyFill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  <xf numFmtId="49" fontId="0" fillId="11" borderId="0" xfId="0" applyNumberFormat="1" applyFill="1" applyAlignment="1">
      <alignment horizontal="center"/>
    </xf>
    <xf numFmtId="49" fontId="3" fillId="11" borderId="0" xfId="0" applyNumberFormat="1" applyFont="1" applyFill="1" applyAlignment="1">
      <alignment horizontal="center"/>
    </xf>
    <xf numFmtId="164" fontId="0" fillId="11" borderId="0" xfId="1" applyNumberFormat="1" applyFont="1" applyFill="1" applyAlignment="1">
      <alignment horizontal="center"/>
    </xf>
    <xf numFmtId="49" fontId="4" fillId="6" borderId="0" xfId="0" applyNumberFormat="1" applyFont="1" applyFill="1" applyAlignment="1">
      <alignment horizontal="center"/>
    </xf>
    <xf numFmtId="164" fontId="4" fillId="6" borderId="0" xfId="1" applyNumberFormat="1" applyFont="1" applyFill="1" applyAlignment="1">
      <alignment horizontal="center"/>
    </xf>
    <xf numFmtId="164" fontId="0" fillId="0" borderId="3" xfId="1" quotePrefix="1" applyNumberFormat="1" applyFont="1" applyBorder="1" applyAlignment="1">
      <alignment horizontal="center"/>
    </xf>
    <xf numFmtId="49" fontId="0" fillId="12" borderId="0" xfId="0" applyNumberFormat="1" applyFill="1" applyAlignment="1">
      <alignment horizontal="center"/>
    </xf>
    <xf numFmtId="164" fontId="0" fillId="12" borderId="0" xfId="1" applyNumberFormat="1" applyFont="1" applyFill="1" applyAlignment="1">
      <alignment horizontal="center"/>
    </xf>
    <xf numFmtId="0" fontId="5" fillId="13" borderId="0" xfId="2" quotePrefix="1" applyAlignment="1">
      <alignment horizontal="center"/>
    </xf>
    <xf numFmtId="0" fontId="4" fillId="13" borderId="0" xfId="2" quotePrefix="1" applyFont="1" applyAlignment="1">
      <alignment horizontal="center"/>
    </xf>
    <xf numFmtId="164" fontId="0" fillId="0" borderId="0" xfId="1" applyNumberFormat="1" applyFont="1" applyBorder="1"/>
    <xf numFmtId="0" fontId="0" fillId="8" borderId="0" xfId="0" applyFill="1"/>
    <xf numFmtId="49" fontId="0" fillId="8" borderId="0" xfId="0" applyNumberFormat="1" applyFill="1"/>
    <xf numFmtId="49" fontId="0" fillId="14" borderId="0" xfId="0" applyNumberFormat="1" applyFill="1" applyAlignment="1">
      <alignment horizontal="center"/>
    </xf>
    <xf numFmtId="164" fontId="0" fillId="14" borderId="0" xfId="1" applyNumberFormat="1" applyFont="1" applyFill="1" applyAlignment="1">
      <alignment horizontal="center"/>
    </xf>
  </cellXfs>
  <cellStyles count="3">
    <cellStyle name="Bad" xfId="2" builtinId="27"/>
    <cellStyle name="Comma" xfId="1" builtinId="3"/>
    <cellStyle name="Normal" xfId="0" builtinId="0"/>
  </cellStyles>
  <dxfs count="4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_(* #,##0_);_(* \(#,##0\);_(* &quot;-&quot;??_);_(@_)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_(* #,##0_);_(* \(#,##0\);_(* &quot;-&quot;??_);_(@_)"/>
      <alignment horizontal="center" vertical="bottom" textRotation="0" wrapText="0" indent="0" justifyLastLine="0" shrinkToFit="0" readingOrder="0"/>
    </dxf>
    <dxf>
      <numFmt numFmtId="164" formatCode="_(* #,##0_);_(* \(#,##0\);_(* &quot;-&quot;??_);_(@_)"/>
      <alignment horizontal="center" vertical="bottom" textRotation="0" wrapText="0" indent="0" justifyLastLine="0" shrinkToFit="0" readingOrder="0"/>
    </dxf>
    <dxf>
      <numFmt numFmtId="164" formatCode="_(* #,##0_);_(* \(#,##0\);_(* &quot;-&quot;??_);_(@_)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>
          <bgColor rgb="FFFC808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5F4398C-CD24-4E9C-B676-8BA7DBF7E226}" name="Table2" displayName="Table2" ref="A1:K97" totalsRowShown="0" headerRowDxfId="38" dataDxfId="36" headerRowBorderDxfId="37" tableBorderDxfId="35">
  <autoFilter ref="A1:K97" xr:uid="{55F4398C-CD24-4E9C-B676-8BA7DBF7E226}"/>
  <sortState xmlns:xlrd2="http://schemas.microsoft.com/office/spreadsheetml/2017/richdata2" ref="A2:K97">
    <sortCondition ref="A1:A97"/>
  </sortState>
  <tableColumns count="11">
    <tableColumn id="10" xr3:uid="{18363842-1419-4305-8F6C-DF4168D24699}" name="Mach#" dataDxfId="34"/>
    <tableColumn id="1" xr3:uid="{28069BCE-17D2-4B76-AD34-304125AA6C9C}" name="Job" dataDxfId="33"/>
    <tableColumn id="2" xr3:uid="{213BB99C-0250-4540-928A-F46EEAC22771}" name="Size" dataDxfId="32"/>
    <tableColumn id="3" xr3:uid="{CE105097-BD7A-4882-9A53-D350E7D35574}" name="Bed" dataDxfId="31"/>
    <tableColumn id="4" xr3:uid="{C85FAA6A-5835-4A20-8821-59FC17C1AEA6}" name="3rd POS" dataDxfId="30"/>
    <tableColumn id="5" xr3:uid="{2E183ABA-5599-4B52-AAA0-F441D950AA4A}" name="2nd Pos" dataDxfId="29"/>
    <tableColumn id="6" xr3:uid="{2ACE8E8E-4766-4F3C-B021-58C5959F3EF1}" name="Knurl" dataDxfId="28"/>
    <tableColumn id="7" xr3:uid="{746260F1-E0E7-4ABD-A08F-D6ADFC732F41}" name="Ext Thd" dataDxfId="27"/>
    <tableColumn id="11" xr3:uid="{34509BEA-800C-4608-A7D9-E126DD9ECC3A}" name="PPH" dataDxfId="26" dataCellStyle="Comma"/>
    <tableColumn id="12" xr3:uid="{C22B36B2-EC1B-4B3C-82D5-16DB3EF278A4}" name="Shifts" dataDxfId="25" dataCellStyle="Comma">
      <calculatedColumnFormula>IFERROR(ROUNDDOWN(Table2[[#This Row],[22 Qty]]/(Table2[[#This Row],[PPH]]*10),0),"-")</calculatedColumnFormula>
    </tableColumn>
    <tableColumn id="8" xr3:uid="{7A58513F-D6FE-4F03-990D-A2E2DB36445B}" name="22 Qty" dataDxfId="24" dataCellStyle="Comma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3C24CF-B05D-4A75-A948-EFDA913BF130}" name="Table3" displayName="Table3" ref="A1:I42" totalsRowShown="0" headerRowDxfId="21" dataDxfId="20">
  <autoFilter ref="A1:I42" xr:uid="{CB3C24CF-B05D-4A75-A948-EFDA913BF130}"/>
  <sortState xmlns:xlrd2="http://schemas.microsoft.com/office/spreadsheetml/2017/richdata2" ref="A2:I42">
    <sortCondition ref="A1:A42"/>
  </sortState>
  <tableColumns count="9">
    <tableColumn id="1" xr3:uid="{632871E7-10FC-4291-BD6D-E9FAF3AC83E4}" name="Machine" dataDxfId="19"/>
    <tableColumn id="2" xr3:uid="{1290B056-2357-4205-8CBC-70410E87ACF8}" name="Collet" dataDxfId="18"/>
    <tableColumn id="3" xr3:uid="{A060A62A-97F7-453E-9BE2-EDC07C9E1540}" name="3rd Pos" dataDxfId="17"/>
    <tableColumn id="4" xr3:uid="{53B20C4D-BFEA-442A-A3ED-7B6F3116B86A}" name="# Jobs" dataDxfId="16">
      <calculatedColumnFormula>COUNTIFS(Table2[Mach'#],Table3[[#This Row],[Machine]],Table2[PPH],"&gt;0")</calculatedColumnFormula>
    </tableColumn>
    <tableColumn id="7" xr3:uid="{9C3C4A1A-5B02-484E-B1F1-EE9E036C3707}" name="ToT PPH" dataDxfId="15">
      <calculatedColumnFormula>SUMIF(Table2[Mach'#],Table3[[#This Row],[Machine]],Table2[PPH])</calculatedColumnFormula>
    </tableColumn>
    <tableColumn id="8" xr3:uid="{2D79B7EB-CB79-4C74-951B-81CA54466BDB}" name="AVG PPH" dataDxfId="14">
      <calculatedColumnFormula>IFERROR(ROUNDDOWN(Table3[[#This Row],[ToT PPH]]/Table3[[#This Row],['# Jobs]],0),"-")</calculatedColumnFormula>
    </tableColumn>
    <tableColumn id="9" xr3:uid="{5D9D1AB6-0E7B-45FC-8D7E-DF3AE15805D2}" name="ΔPPH" dataDxfId="13">
      <calculatedColumnFormula>_xlfn.MAXIFS(Table2[PPH],Table2[Mach'#],Table3[[#This Row],[Machine]])-_xlfn.MINIFS(Table2[PPH],Table2[Mach'#],Table3[[#This Row],[Machine]])</calculatedColumnFormula>
    </tableColumn>
    <tableColumn id="5" xr3:uid="{B61A01CC-06E7-41F6-A363-B71D606E259E}" name="Shifts" dataDxfId="12">
      <calculatedColumnFormula>SUMIF(Table2[Mach'#],Table3[[#This Row],[Machine]],Table2[Shifts])</calculatedColumnFormula>
    </tableColumn>
    <tableColumn id="6" xr3:uid="{0CD02329-8CDB-427F-8CB2-832996DD344C}" name="QTY" dataDxfId="11" dataCellStyle="Comma">
      <calculatedColumnFormula>SUMIF(Jobs!A:A,Machines!A2,Jobs!K:K)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C1984B5-B9C6-422C-BC52-DCCE3D0E8B19}" name="Table4" displayName="Table4" ref="T2:W11" totalsRowCount="1" headerRowDxfId="10" dataDxfId="9" totalsRowDxfId="8">
  <autoFilter ref="T2:W10" xr:uid="{CC1984B5-B9C6-422C-BC52-DCCE3D0E8B19}"/>
  <tableColumns count="4">
    <tableColumn id="1" xr3:uid="{1E560802-A284-4A58-9C6C-EC7700B65948}" name="Size" totalsRowLabel="Blank" dataDxfId="7" totalsRowDxfId="6"/>
    <tableColumn id="2" xr3:uid="{B1C778CD-F187-474E-BEDF-A3F35D3E80C1}" name="# Mach" totalsRowFunction="custom" dataDxfId="5" totalsRowDxfId="4">
      <calculatedColumnFormula>COUNTIF(Table3[Collet],$T3)</calculatedColumnFormula>
      <totalsRowFormula>COUNTBLANK(Table3[Collet])</totalsRowFormula>
    </tableColumn>
    <tableColumn id="3" xr3:uid="{E9BF81E4-A62B-4084-9BE6-BC01E2B77D4D}" name="# Jobs" dataDxfId="3" totalsRowDxfId="2">
      <calculatedColumnFormula>COUNTIF(Table2[Size],$T3)</calculatedColumnFormula>
    </tableColumn>
    <tableColumn id="4" xr3:uid="{57F514A2-0F10-4D15-A8AA-A8D8727C0E2A}" name="QTY" dataDxfId="1" totalsRowDxfId="0">
      <calculatedColumnFormula>SUMIF(Jobs!C:C,Table4[Size],Jobs!K:K)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0F870-55B5-49EA-8762-0E89949D269E}">
  <sheetPr>
    <pageSetUpPr fitToPage="1"/>
  </sheetPr>
  <dimension ref="A1:R97"/>
  <sheetViews>
    <sheetView tabSelected="1" zoomScale="120" zoomScaleNormal="120" workbookViewId="0">
      <selection activeCell="P17" sqref="P17"/>
    </sheetView>
  </sheetViews>
  <sheetFormatPr defaultRowHeight="15" x14ac:dyDescent="0.25"/>
  <cols>
    <col min="1" max="1" width="11.42578125" style="2" bestFit="1" customWidth="1"/>
    <col min="2" max="2" width="8.5703125" style="2" bestFit="1" customWidth="1"/>
    <col min="3" max="3" width="9.140625" style="2" bestFit="1" customWidth="1"/>
    <col min="4" max="4" width="9" style="2" bestFit="1" customWidth="1"/>
    <col min="5" max="6" width="12.42578125" style="2" bestFit="1" customWidth="1"/>
    <col min="7" max="7" width="10.28515625" style="2" bestFit="1" customWidth="1"/>
    <col min="8" max="8" width="12" style="2" bestFit="1" customWidth="1"/>
    <col min="9" max="10" width="12" style="2" customWidth="1"/>
    <col min="11" max="11" width="11.85546875" style="4" bestFit="1" customWidth="1"/>
    <col min="15" max="15" width="10.7109375" customWidth="1"/>
    <col min="16" max="16" width="16.85546875" style="1" bestFit="1" customWidth="1"/>
    <col min="17" max="17" width="9.5703125" bestFit="1" customWidth="1"/>
  </cols>
  <sheetData>
    <row r="1" spans="1:18" ht="15.75" thickBot="1" x14ac:dyDescent="0.3">
      <c r="A1" s="5" t="s">
        <v>75</v>
      </c>
      <c r="B1" s="6" t="s">
        <v>0</v>
      </c>
      <c r="C1" s="7" t="s">
        <v>1</v>
      </c>
      <c r="D1" s="7" t="s">
        <v>2</v>
      </c>
      <c r="E1" s="7" t="s">
        <v>60</v>
      </c>
      <c r="F1" s="7" t="s">
        <v>65</v>
      </c>
      <c r="G1" s="7" t="s">
        <v>5</v>
      </c>
      <c r="H1" s="8" t="s">
        <v>73</v>
      </c>
      <c r="I1" s="8" t="s">
        <v>176</v>
      </c>
      <c r="J1" s="8" t="s">
        <v>180</v>
      </c>
      <c r="K1" s="37" t="s">
        <v>174</v>
      </c>
      <c r="P1"/>
      <c r="Q1" s="1"/>
    </row>
    <row r="2" spans="1:18" x14ac:dyDescent="0.25">
      <c r="A2" s="13" t="s">
        <v>161</v>
      </c>
      <c r="B2" s="13" t="s">
        <v>148</v>
      </c>
      <c r="C2" s="13" t="s">
        <v>71</v>
      </c>
      <c r="D2" s="13"/>
      <c r="E2" s="13" t="s">
        <v>59</v>
      </c>
      <c r="F2" s="13"/>
      <c r="G2" s="13" t="s">
        <v>57</v>
      </c>
      <c r="H2" s="13"/>
      <c r="I2" s="14">
        <v>251</v>
      </c>
      <c r="J2" s="14">
        <f>IFERROR(ROUNDDOWN(Table2[[#This Row],[22 Qty]]/(Table2[[#This Row],[PPH]]*10),0),"-")</f>
        <v>15</v>
      </c>
      <c r="K2" s="14">
        <v>39000</v>
      </c>
      <c r="P2"/>
      <c r="Q2" s="1"/>
    </row>
    <row r="3" spans="1:18" x14ac:dyDescent="0.25">
      <c r="A3" s="11" t="s">
        <v>153</v>
      </c>
      <c r="B3" s="11" t="s">
        <v>154</v>
      </c>
      <c r="C3" s="11" t="s">
        <v>155</v>
      </c>
      <c r="D3" s="11"/>
      <c r="E3" s="11" t="s">
        <v>64</v>
      </c>
      <c r="F3" s="11" t="s">
        <v>1</v>
      </c>
      <c r="G3" s="11" t="s">
        <v>56</v>
      </c>
      <c r="H3" s="11"/>
      <c r="I3" s="12">
        <v>266</v>
      </c>
      <c r="J3" s="12">
        <f>IFERROR(ROUNDDOWN(Table2[[#This Row],[22 Qty]]/(Table2[[#This Row],[PPH]]*10),0),"-")</f>
        <v>48</v>
      </c>
      <c r="K3" s="12">
        <v>128000</v>
      </c>
      <c r="P3"/>
      <c r="Q3" s="1"/>
    </row>
    <row r="4" spans="1:18" x14ac:dyDescent="0.25">
      <c r="A4" s="32" t="s">
        <v>156</v>
      </c>
      <c r="B4" s="33" t="s">
        <v>163</v>
      </c>
      <c r="C4" s="32"/>
      <c r="D4" s="32"/>
      <c r="E4" s="32"/>
      <c r="F4" s="32"/>
      <c r="G4" s="32" t="s">
        <v>56</v>
      </c>
      <c r="H4" s="32"/>
      <c r="I4" s="34"/>
      <c r="J4" s="34" t="str">
        <f>IFERROR(ROUNDDOWN(Table2[[#This Row],[22 Qty]]/(Table2[[#This Row],[PPH]]*10),0),"-")</f>
        <v>-</v>
      </c>
      <c r="K4" s="34"/>
      <c r="P4"/>
      <c r="Q4" s="1"/>
    </row>
    <row r="5" spans="1:18" x14ac:dyDescent="0.25">
      <c r="A5" s="23" t="s">
        <v>158</v>
      </c>
      <c r="B5" s="23" t="s">
        <v>157</v>
      </c>
      <c r="C5" s="23" t="s">
        <v>71</v>
      </c>
      <c r="D5" s="23"/>
      <c r="E5" s="23" t="s">
        <v>64</v>
      </c>
      <c r="F5" s="23"/>
      <c r="G5" s="23" t="s">
        <v>56</v>
      </c>
      <c r="H5" s="23"/>
      <c r="I5" s="24">
        <v>940</v>
      </c>
      <c r="J5" s="24">
        <f>IFERROR(ROUNDDOWN(Table2[[#This Row],[22 Qty]]/(Table2[[#This Row],[PPH]]*10),0),"-")</f>
        <v>17</v>
      </c>
      <c r="K5" s="24">
        <v>165000</v>
      </c>
      <c r="P5"/>
      <c r="Q5" s="1"/>
    </row>
    <row r="6" spans="1:18" x14ac:dyDescent="0.25">
      <c r="A6" s="23" t="s">
        <v>158</v>
      </c>
      <c r="B6" s="23" t="s">
        <v>172</v>
      </c>
      <c r="C6" s="23"/>
      <c r="D6" s="23"/>
      <c r="E6" s="23"/>
      <c r="F6" s="23"/>
      <c r="G6" s="23"/>
      <c r="H6" s="23"/>
      <c r="I6" s="24">
        <v>1064</v>
      </c>
      <c r="J6" s="24">
        <f>IFERROR(ROUNDDOWN(Table2[[#This Row],[22 Qty]]/(Table2[[#This Row],[PPH]]*10),0),"-")</f>
        <v>3</v>
      </c>
      <c r="K6" s="24">
        <v>41400</v>
      </c>
      <c r="P6"/>
      <c r="Q6" s="1"/>
    </row>
    <row r="7" spans="1:18" x14ac:dyDescent="0.25">
      <c r="A7" s="23" t="s">
        <v>158</v>
      </c>
      <c r="B7" s="23" t="s">
        <v>173</v>
      </c>
      <c r="C7" s="23"/>
      <c r="D7" s="23"/>
      <c r="E7" s="23"/>
      <c r="F7" s="23"/>
      <c r="G7" s="23"/>
      <c r="H7" s="23"/>
      <c r="I7" s="24">
        <v>1052</v>
      </c>
      <c r="J7" s="24">
        <f>IFERROR(ROUNDDOWN(Table2[[#This Row],[22 Qty]]/(Table2[[#This Row],[PPH]]*10),0),"-")</f>
        <v>3</v>
      </c>
      <c r="K7" s="24">
        <v>38875</v>
      </c>
      <c r="P7"/>
      <c r="Q7" s="1"/>
    </row>
    <row r="8" spans="1:18" x14ac:dyDescent="0.25">
      <c r="A8" s="15" t="s">
        <v>162</v>
      </c>
      <c r="B8" s="15" t="s">
        <v>147</v>
      </c>
      <c r="C8" s="15" t="s">
        <v>150</v>
      </c>
      <c r="D8" s="15"/>
      <c r="E8" s="15" t="s">
        <v>64</v>
      </c>
      <c r="F8" s="15" t="s">
        <v>1</v>
      </c>
      <c r="G8" s="15" t="s">
        <v>57</v>
      </c>
      <c r="H8" s="15"/>
      <c r="I8" s="16">
        <v>351</v>
      </c>
      <c r="J8" s="16">
        <f>IFERROR(ROUNDDOWN(Table2[[#This Row],[22 Qty]]/(Table2[[#This Row],[PPH]]*10),0),"-")</f>
        <v>76</v>
      </c>
      <c r="K8" s="16">
        <v>270000</v>
      </c>
      <c r="P8"/>
      <c r="Q8" s="1"/>
    </row>
    <row r="9" spans="1:18" x14ac:dyDescent="0.25">
      <c r="A9" s="38" t="s">
        <v>164</v>
      </c>
      <c r="B9" s="38" t="s">
        <v>125</v>
      </c>
      <c r="C9" s="38" t="s">
        <v>126</v>
      </c>
      <c r="D9" s="38"/>
      <c r="E9" s="38" t="s">
        <v>64</v>
      </c>
      <c r="F9" s="38" t="s">
        <v>1</v>
      </c>
      <c r="G9" s="38" t="s">
        <v>56</v>
      </c>
      <c r="H9" s="38"/>
      <c r="I9" s="39">
        <v>571</v>
      </c>
      <c r="J9" s="39">
        <f>IFERROR(ROUNDDOWN(Table2[[#This Row],[22 Qty]]/(Table2[[#This Row],[PPH]]*10),0),"-")</f>
        <v>105</v>
      </c>
      <c r="K9" s="39">
        <v>600000</v>
      </c>
      <c r="P9"/>
      <c r="Q9" s="1"/>
    </row>
    <row r="10" spans="1:18" x14ac:dyDescent="0.25">
      <c r="A10" s="21"/>
      <c r="B10" s="21"/>
      <c r="C10" s="21"/>
      <c r="D10" s="21"/>
      <c r="E10" s="21"/>
      <c r="F10" s="21"/>
      <c r="G10" s="21"/>
      <c r="H10" s="21"/>
      <c r="I10" s="22"/>
      <c r="J10" s="22" t="str">
        <f>IFERROR(ROUNDDOWN(Table2[[#This Row],[22 Qty]]/(Table2[[#This Row],[PPH]]*10),0),"-")</f>
        <v>-</v>
      </c>
      <c r="K10" s="22"/>
      <c r="P10"/>
      <c r="Q10" s="1"/>
    </row>
    <row r="11" spans="1:18" x14ac:dyDescent="0.25">
      <c r="A11" s="11" t="s">
        <v>106</v>
      </c>
      <c r="B11" s="11" t="s">
        <v>108</v>
      </c>
      <c r="C11" s="11" t="s">
        <v>66</v>
      </c>
      <c r="D11" s="11"/>
      <c r="E11" s="11" t="s">
        <v>59</v>
      </c>
      <c r="F11" s="11" t="s">
        <v>1</v>
      </c>
      <c r="G11" s="11" t="s">
        <v>57</v>
      </c>
      <c r="H11" s="11"/>
      <c r="I11" s="12">
        <v>0</v>
      </c>
      <c r="J11" s="12" t="str">
        <f>IFERROR(ROUNDDOWN(Table2[[#This Row],[22 Qty]]/(Table2[[#This Row],[PPH]]*10),0),"-")</f>
        <v>-</v>
      </c>
      <c r="K11" s="12">
        <v>0</v>
      </c>
      <c r="P11"/>
      <c r="Q11" s="1"/>
    </row>
    <row r="12" spans="1:18" x14ac:dyDescent="0.25">
      <c r="A12" s="11" t="s">
        <v>106</v>
      </c>
      <c r="B12" s="11" t="s">
        <v>177</v>
      </c>
      <c r="C12" s="11" t="s">
        <v>132</v>
      </c>
      <c r="D12" s="11"/>
      <c r="E12" s="11" t="s">
        <v>59</v>
      </c>
      <c r="F12" s="11" t="s">
        <v>1</v>
      </c>
      <c r="G12" s="11" t="s">
        <v>56</v>
      </c>
      <c r="H12" s="11"/>
      <c r="I12" s="12">
        <v>736</v>
      </c>
      <c r="J12" s="12">
        <f>IFERROR(ROUNDDOWN(Table2[[#This Row],[22 Qty]]/(Table2[[#This Row],[PPH]]*10),0),"-")</f>
        <v>45</v>
      </c>
      <c r="K12" s="12">
        <v>331500</v>
      </c>
      <c r="P12" s="29"/>
      <c r="Q12" s="31"/>
      <c r="R12" s="30"/>
    </row>
    <row r="13" spans="1:18" x14ac:dyDescent="0.25">
      <c r="A13" s="11" t="s">
        <v>106</v>
      </c>
      <c r="B13" s="11" t="s">
        <v>109</v>
      </c>
      <c r="C13" s="11" t="s">
        <v>66</v>
      </c>
      <c r="D13" s="11"/>
      <c r="E13" s="11" t="s">
        <v>59</v>
      </c>
      <c r="F13" s="11" t="s">
        <v>1</v>
      </c>
      <c r="G13" s="11" t="s">
        <v>56</v>
      </c>
      <c r="H13" s="11"/>
      <c r="I13" s="12">
        <v>550</v>
      </c>
      <c r="J13" s="12">
        <f>IFERROR(ROUNDDOWN(Table2[[#This Row],[22 Qty]]/(Table2[[#This Row],[PPH]]*10),0),"-")</f>
        <v>0</v>
      </c>
      <c r="K13" s="12">
        <v>1600</v>
      </c>
      <c r="P13" s="29"/>
      <c r="Q13" s="31"/>
      <c r="R13" s="30"/>
    </row>
    <row r="14" spans="1:18" x14ac:dyDescent="0.25">
      <c r="A14" s="11" t="s">
        <v>106</v>
      </c>
      <c r="B14" s="11" t="s">
        <v>110</v>
      </c>
      <c r="C14" s="11" t="s">
        <v>119</v>
      </c>
      <c r="D14" s="11"/>
      <c r="E14" s="11" t="s">
        <v>3</v>
      </c>
      <c r="F14" s="11" t="s">
        <v>121</v>
      </c>
      <c r="G14" s="11" t="s">
        <v>56</v>
      </c>
      <c r="H14" s="11"/>
      <c r="I14" s="12">
        <v>570</v>
      </c>
      <c r="J14" s="12">
        <f>IFERROR(ROUNDDOWN(Table2[[#This Row],[22 Qty]]/(Table2[[#This Row],[PPH]]*10),0),"-")</f>
        <v>26</v>
      </c>
      <c r="K14" s="12">
        <v>150500</v>
      </c>
      <c r="P14"/>
      <c r="Q14" s="1"/>
    </row>
    <row r="15" spans="1:18" x14ac:dyDescent="0.25">
      <c r="A15" s="11" t="s">
        <v>106</v>
      </c>
      <c r="B15" s="11" t="s">
        <v>111</v>
      </c>
      <c r="C15" s="11" t="s">
        <v>119</v>
      </c>
      <c r="D15" s="11"/>
      <c r="E15" s="11" t="s">
        <v>3</v>
      </c>
      <c r="F15" s="11" t="s">
        <v>121</v>
      </c>
      <c r="G15" s="11" t="s">
        <v>56</v>
      </c>
      <c r="H15" s="11"/>
      <c r="I15" s="12">
        <v>467</v>
      </c>
      <c r="J15" s="12">
        <f>IFERROR(ROUNDDOWN(Table2[[#This Row],[22 Qty]]/(Table2[[#This Row],[PPH]]*10),0),"-")</f>
        <v>3</v>
      </c>
      <c r="K15" s="12">
        <v>17500</v>
      </c>
      <c r="P15"/>
      <c r="Q15" s="1"/>
    </row>
    <row r="16" spans="1:18" x14ac:dyDescent="0.25">
      <c r="A16" s="15" t="s">
        <v>107</v>
      </c>
      <c r="B16" s="15" t="s">
        <v>112</v>
      </c>
      <c r="C16" s="15" t="s">
        <v>122</v>
      </c>
      <c r="D16" s="15"/>
      <c r="E16" s="15" t="s">
        <v>120</v>
      </c>
      <c r="F16" s="15"/>
      <c r="G16" s="15" t="s">
        <v>56</v>
      </c>
      <c r="H16" s="15"/>
      <c r="I16" s="16">
        <v>769</v>
      </c>
      <c r="J16" s="16">
        <f>IFERROR(ROUNDDOWN(Table2[[#This Row],[22 Qty]]/(Table2[[#This Row],[PPH]]*10),0),"-")</f>
        <v>37</v>
      </c>
      <c r="K16" s="16">
        <v>288000</v>
      </c>
      <c r="P16"/>
      <c r="Q16" s="1"/>
    </row>
    <row r="17" spans="1:17" x14ac:dyDescent="0.25">
      <c r="A17" s="15" t="s">
        <v>107</v>
      </c>
      <c r="B17" s="15" t="s">
        <v>113</v>
      </c>
      <c r="C17" s="15" t="s">
        <v>122</v>
      </c>
      <c r="D17" s="15"/>
      <c r="E17" s="15" t="s">
        <v>120</v>
      </c>
      <c r="F17" s="15"/>
      <c r="G17" s="15" t="s">
        <v>57</v>
      </c>
      <c r="H17" s="15"/>
      <c r="I17" s="16">
        <v>772</v>
      </c>
      <c r="J17" s="16">
        <f>IFERROR(ROUNDDOWN(Table2[[#This Row],[22 Qty]]/(Table2[[#This Row],[PPH]]*10),0),"-")</f>
        <v>16</v>
      </c>
      <c r="K17" s="16">
        <v>126000</v>
      </c>
      <c r="P17"/>
      <c r="Q17" s="1"/>
    </row>
    <row r="18" spans="1:17" x14ac:dyDescent="0.25">
      <c r="A18" s="13" t="s">
        <v>105</v>
      </c>
      <c r="B18" s="13" t="s">
        <v>114</v>
      </c>
      <c r="C18" s="13" t="s">
        <v>63</v>
      </c>
      <c r="D18" s="13"/>
      <c r="E18" s="13" t="s">
        <v>64</v>
      </c>
      <c r="F18" s="13" t="s">
        <v>1</v>
      </c>
      <c r="G18" s="13" t="s">
        <v>57</v>
      </c>
      <c r="H18" s="13" t="s">
        <v>57</v>
      </c>
      <c r="I18" s="14">
        <v>614</v>
      </c>
      <c r="J18" s="14">
        <f>IFERROR(ROUNDDOWN(Table2[[#This Row],[22 Qty]]/(Table2[[#This Row],[PPH]]*10),0),"-")</f>
        <v>6</v>
      </c>
      <c r="K18" s="14">
        <v>42000</v>
      </c>
      <c r="P18"/>
      <c r="Q18" s="1"/>
    </row>
    <row r="19" spans="1:17" x14ac:dyDescent="0.25">
      <c r="A19" s="13" t="s">
        <v>105</v>
      </c>
      <c r="B19" s="13" t="s">
        <v>115</v>
      </c>
      <c r="C19" s="13" t="s">
        <v>63</v>
      </c>
      <c r="D19" s="13"/>
      <c r="E19" s="13" t="s">
        <v>64</v>
      </c>
      <c r="F19" s="13" t="s">
        <v>1</v>
      </c>
      <c r="G19" s="13" t="s">
        <v>57</v>
      </c>
      <c r="H19" s="13" t="s">
        <v>57</v>
      </c>
      <c r="I19" s="14">
        <v>0</v>
      </c>
      <c r="J19" s="14" t="str">
        <f>IFERROR(ROUNDDOWN(Table2[[#This Row],[22 Qty]]/(Table2[[#This Row],[PPH]]*10),0),"-")</f>
        <v>-</v>
      </c>
      <c r="K19" s="14">
        <v>0</v>
      </c>
      <c r="P19"/>
      <c r="Q19" s="1"/>
    </row>
    <row r="20" spans="1:17" x14ac:dyDescent="0.25">
      <c r="A20" s="13" t="s">
        <v>105</v>
      </c>
      <c r="B20" s="13" t="s">
        <v>116</v>
      </c>
      <c r="C20" s="13" t="s">
        <v>62</v>
      </c>
      <c r="D20" s="13"/>
      <c r="E20" s="13" t="s">
        <v>64</v>
      </c>
      <c r="F20" s="13" t="s">
        <v>1</v>
      </c>
      <c r="G20" s="13" t="s">
        <v>56</v>
      </c>
      <c r="H20" s="13" t="s">
        <v>57</v>
      </c>
      <c r="I20" s="14">
        <v>650</v>
      </c>
      <c r="J20" s="14">
        <f>IFERROR(ROUNDDOWN(Table2[[#This Row],[22 Qty]]/(Table2[[#This Row],[PPH]]*10),0),"-")</f>
        <v>0</v>
      </c>
      <c r="K20" s="14">
        <v>2600</v>
      </c>
      <c r="P20"/>
      <c r="Q20" s="1"/>
    </row>
    <row r="21" spans="1:17" x14ac:dyDescent="0.25">
      <c r="A21" s="13" t="s">
        <v>105</v>
      </c>
      <c r="B21" s="13" t="s">
        <v>117</v>
      </c>
      <c r="C21" s="13" t="s">
        <v>63</v>
      </c>
      <c r="D21" s="13"/>
      <c r="E21" s="13" t="s">
        <v>64</v>
      </c>
      <c r="F21" s="13" t="s">
        <v>1</v>
      </c>
      <c r="G21" s="13" t="s">
        <v>57</v>
      </c>
      <c r="H21" s="13" t="s">
        <v>57</v>
      </c>
      <c r="I21" s="14">
        <v>719</v>
      </c>
      <c r="J21" s="14">
        <f>IFERROR(ROUNDDOWN(Table2[[#This Row],[22 Qty]]/(Table2[[#This Row],[PPH]]*10),0),"-")</f>
        <v>15</v>
      </c>
      <c r="K21" s="14">
        <v>114775</v>
      </c>
      <c r="P21"/>
      <c r="Q21" s="1"/>
    </row>
    <row r="22" spans="1:17" x14ac:dyDescent="0.25">
      <c r="A22" s="21"/>
      <c r="B22" s="21"/>
      <c r="C22" s="21"/>
      <c r="D22" s="21"/>
      <c r="E22" s="21"/>
      <c r="F22" s="21"/>
      <c r="G22" s="21"/>
      <c r="H22" s="21"/>
      <c r="I22" s="22"/>
      <c r="J22" s="22" t="str">
        <f>IFERROR(ROUNDDOWN(Table2[[#This Row],[22 Qty]]/(Table2[[#This Row],[PPH]]*10),0),"-")</f>
        <v>-</v>
      </c>
      <c r="K22" s="22"/>
      <c r="P22"/>
      <c r="Q22" s="1"/>
    </row>
    <row r="23" spans="1:17" x14ac:dyDescent="0.25">
      <c r="A23" s="11" t="s">
        <v>127</v>
      </c>
      <c r="B23" s="11" t="s">
        <v>128</v>
      </c>
      <c r="C23" s="11" t="s">
        <v>71</v>
      </c>
      <c r="D23" s="11"/>
      <c r="E23" s="11" t="s">
        <v>59</v>
      </c>
      <c r="F23" s="11" t="s">
        <v>1</v>
      </c>
      <c r="G23" s="11" t="s">
        <v>57</v>
      </c>
      <c r="H23" s="11" t="s">
        <v>57</v>
      </c>
      <c r="I23" s="12">
        <v>660</v>
      </c>
      <c r="J23" s="12">
        <f>IFERROR(ROUNDDOWN(Table2[[#This Row],[22 Qty]]/(Table2[[#This Row],[PPH]]*10),0),"-")</f>
        <v>77</v>
      </c>
      <c r="K23" s="12">
        <v>514000</v>
      </c>
      <c r="P23"/>
      <c r="Q23" s="1"/>
    </row>
    <row r="24" spans="1:17" x14ac:dyDescent="0.25">
      <c r="A24" s="9" t="s">
        <v>129</v>
      </c>
      <c r="B24" s="9" t="s">
        <v>130</v>
      </c>
      <c r="C24" s="9" t="s">
        <v>55</v>
      </c>
      <c r="D24" s="9"/>
      <c r="E24" s="9" t="s">
        <v>59</v>
      </c>
      <c r="F24" s="9" t="s">
        <v>1</v>
      </c>
      <c r="G24" s="9" t="s">
        <v>57</v>
      </c>
      <c r="H24" s="9"/>
      <c r="I24" s="10">
        <v>427</v>
      </c>
      <c r="J24" s="10">
        <f>IFERROR(ROUNDDOWN(Table2[[#This Row],[22 Qty]]/(Table2[[#This Row],[PPH]]*10),0),"-")</f>
        <v>52</v>
      </c>
      <c r="K24" s="10">
        <v>225300</v>
      </c>
      <c r="P24"/>
      <c r="Q24" s="1"/>
    </row>
    <row r="25" spans="1:17" x14ac:dyDescent="0.25">
      <c r="A25" s="9" t="s">
        <v>129</v>
      </c>
      <c r="B25" s="9" t="s">
        <v>131</v>
      </c>
      <c r="C25" s="9" t="s">
        <v>132</v>
      </c>
      <c r="D25" s="9"/>
      <c r="E25" s="9" t="s">
        <v>64</v>
      </c>
      <c r="F25" s="9" t="s">
        <v>1</v>
      </c>
      <c r="G25" s="9" t="s">
        <v>56</v>
      </c>
      <c r="H25" s="9"/>
      <c r="I25" s="10"/>
      <c r="J25" s="10" t="str">
        <f>IFERROR(ROUNDDOWN(Table2[[#This Row],[22 Qty]]/(Table2[[#This Row],[PPH]]*10),0),"-")</f>
        <v>-</v>
      </c>
      <c r="K25" s="10">
        <v>0</v>
      </c>
      <c r="P25"/>
      <c r="Q25" s="1"/>
    </row>
    <row r="26" spans="1:17" x14ac:dyDescent="0.25">
      <c r="A26" s="13" t="s">
        <v>133</v>
      </c>
      <c r="B26" s="13" t="s">
        <v>168</v>
      </c>
      <c r="C26" s="13" t="s">
        <v>169</v>
      </c>
      <c r="D26" s="13"/>
      <c r="E26" s="13" t="s">
        <v>170</v>
      </c>
      <c r="F26" s="13" t="s">
        <v>121</v>
      </c>
      <c r="G26" s="13" t="s">
        <v>56</v>
      </c>
      <c r="H26" s="13"/>
      <c r="I26" s="14">
        <v>197</v>
      </c>
      <c r="J26" s="14">
        <f>IFERROR(ROUNDDOWN(Table2[[#This Row],[22 Qty]]/(Table2[[#This Row],[PPH]]*10),0),"-")</f>
        <v>33</v>
      </c>
      <c r="K26" s="14">
        <v>66900</v>
      </c>
      <c r="P26"/>
      <c r="Q26" s="1"/>
    </row>
    <row r="27" spans="1:17" x14ac:dyDescent="0.25">
      <c r="A27" s="15" t="s">
        <v>135</v>
      </c>
      <c r="B27" s="15" t="s">
        <v>136</v>
      </c>
      <c r="C27" s="15" t="s">
        <v>137</v>
      </c>
      <c r="D27" s="15"/>
      <c r="E27" s="15" t="s">
        <v>3</v>
      </c>
      <c r="F27" s="15" t="s">
        <v>1</v>
      </c>
      <c r="G27" s="15" t="s">
        <v>56</v>
      </c>
      <c r="H27" s="15"/>
      <c r="I27" s="16">
        <v>188</v>
      </c>
      <c r="J27" s="16">
        <f>IFERROR(ROUNDDOWN(Table2[[#This Row],[22 Qty]]/(Table2[[#This Row],[PPH]]*10),0),"-")</f>
        <v>102</v>
      </c>
      <c r="K27" s="16">
        <v>193500</v>
      </c>
      <c r="P27"/>
      <c r="Q27" s="1"/>
    </row>
    <row r="28" spans="1:17" x14ac:dyDescent="0.25">
      <c r="A28" s="9" t="s">
        <v>138</v>
      </c>
      <c r="B28" s="9" t="s">
        <v>139</v>
      </c>
      <c r="C28" s="9" t="s">
        <v>122</v>
      </c>
      <c r="D28" s="9"/>
      <c r="E28" s="9" t="s">
        <v>64</v>
      </c>
      <c r="F28" s="9" t="s">
        <v>1</v>
      </c>
      <c r="G28" s="9" t="s">
        <v>56</v>
      </c>
      <c r="H28" s="9"/>
      <c r="I28" s="10">
        <v>769</v>
      </c>
      <c r="J28" s="10">
        <f>IFERROR(ROUNDDOWN(Table2[[#This Row],[22 Qty]]/(Table2[[#This Row],[PPH]]*10),0),"-")</f>
        <v>57</v>
      </c>
      <c r="K28" s="10">
        <v>444000</v>
      </c>
      <c r="P28"/>
      <c r="Q28" s="1"/>
    </row>
    <row r="29" spans="1:17" x14ac:dyDescent="0.25">
      <c r="A29" s="17" t="s">
        <v>140</v>
      </c>
      <c r="B29" s="17" t="s">
        <v>141</v>
      </c>
      <c r="C29" s="17" t="s">
        <v>55</v>
      </c>
      <c r="D29" s="17"/>
      <c r="E29" s="17" t="s">
        <v>59</v>
      </c>
      <c r="F29" s="17" t="s">
        <v>1</v>
      </c>
      <c r="G29" s="17" t="s">
        <v>57</v>
      </c>
      <c r="H29" s="17"/>
      <c r="I29" s="18">
        <v>442</v>
      </c>
      <c r="J29" s="18">
        <f>IFERROR(ROUNDDOWN(Table2[[#This Row],[22 Qty]]/(Table2[[#This Row],[PPH]]*10),0),"-")</f>
        <v>55</v>
      </c>
      <c r="K29" s="18">
        <v>245000</v>
      </c>
      <c r="P29"/>
      <c r="Q29" s="1"/>
    </row>
    <row r="30" spans="1:17" x14ac:dyDescent="0.25">
      <c r="A30" s="38" t="s">
        <v>142</v>
      </c>
      <c r="B30" s="38" t="s">
        <v>143</v>
      </c>
      <c r="C30" s="38" t="s">
        <v>71</v>
      </c>
      <c r="D30" s="38"/>
      <c r="E30" s="38" t="s">
        <v>64</v>
      </c>
      <c r="F30" s="38" t="s">
        <v>1</v>
      </c>
      <c r="G30" s="38" t="s">
        <v>57</v>
      </c>
      <c r="H30" s="38" t="s">
        <v>57</v>
      </c>
      <c r="I30" s="39">
        <v>695</v>
      </c>
      <c r="J30" s="39">
        <f>IFERROR(ROUNDDOWN(Table2[[#This Row],[22 Qty]]/(Table2[[#This Row],[PPH]]*10),0),"-")</f>
        <v>258</v>
      </c>
      <c r="K30" s="39">
        <v>1795000</v>
      </c>
      <c r="P30"/>
      <c r="Q30" s="1"/>
    </row>
    <row r="31" spans="1:17" x14ac:dyDescent="0.25">
      <c r="A31" s="13" t="s">
        <v>144</v>
      </c>
      <c r="B31" s="13" t="s">
        <v>145</v>
      </c>
      <c r="C31" s="13" t="s">
        <v>119</v>
      </c>
      <c r="D31" s="13"/>
      <c r="E31" s="13" t="s">
        <v>3</v>
      </c>
      <c r="F31" s="13"/>
      <c r="G31" s="13" t="s">
        <v>56</v>
      </c>
      <c r="H31" s="13"/>
      <c r="I31" s="14">
        <v>725</v>
      </c>
      <c r="J31" s="14">
        <f>IFERROR(ROUNDDOWN(Table2[[#This Row],[22 Qty]]/(Table2[[#This Row],[PPH]]*10),0),"-")</f>
        <v>87</v>
      </c>
      <c r="K31" s="14">
        <v>632000</v>
      </c>
      <c r="P31"/>
      <c r="Q31" s="1"/>
    </row>
    <row r="32" spans="1:17" x14ac:dyDescent="0.25">
      <c r="A32" s="13" t="s">
        <v>144</v>
      </c>
      <c r="B32" s="13" t="s">
        <v>171</v>
      </c>
      <c r="C32" s="13" t="s">
        <v>119</v>
      </c>
      <c r="D32" s="13"/>
      <c r="E32" s="13"/>
      <c r="F32" s="13"/>
      <c r="G32" s="13" t="s">
        <v>56</v>
      </c>
      <c r="H32" s="13"/>
      <c r="I32" s="14">
        <v>618</v>
      </c>
      <c r="J32" s="14">
        <f>IFERROR(ROUNDDOWN(Table2[[#This Row],[22 Qty]]/(Table2[[#This Row],[PPH]]*10),0),"-")</f>
        <v>80</v>
      </c>
      <c r="K32" s="14">
        <v>494400</v>
      </c>
      <c r="P32"/>
      <c r="Q32" s="1"/>
    </row>
    <row r="33" spans="1:17" x14ac:dyDescent="0.25">
      <c r="A33" s="15" t="s">
        <v>146</v>
      </c>
      <c r="B33" s="15" t="s">
        <v>149</v>
      </c>
      <c r="C33" s="15" t="s">
        <v>150</v>
      </c>
      <c r="D33" s="15"/>
      <c r="E33" s="15" t="s">
        <v>64</v>
      </c>
      <c r="F33" s="15" t="s">
        <v>1</v>
      </c>
      <c r="G33" s="15" t="s">
        <v>57</v>
      </c>
      <c r="H33" s="15"/>
      <c r="I33" s="16">
        <v>410</v>
      </c>
      <c r="J33" s="16">
        <f>IFERROR(ROUNDDOWN(Table2[[#This Row],[22 Qty]]/(Table2[[#This Row],[PPH]]*10),0),"-")</f>
        <v>98</v>
      </c>
      <c r="K33" s="16">
        <v>404000</v>
      </c>
      <c r="P33"/>
      <c r="Q33" s="1"/>
    </row>
    <row r="34" spans="1:17" x14ac:dyDescent="0.25">
      <c r="A34" s="9" t="s">
        <v>151</v>
      </c>
      <c r="B34" s="9" t="s">
        <v>152</v>
      </c>
      <c r="C34" s="9" t="s">
        <v>159</v>
      </c>
      <c r="D34" s="9"/>
      <c r="E34" s="9" t="s">
        <v>3</v>
      </c>
      <c r="F34" s="9" t="s">
        <v>1</v>
      </c>
      <c r="G34" s="9" t="s">
        <v>56</v>
      </c>
      <c r="H34" s="9"/>
      <c r="I34" s="10">
        <v>199</v>
      </c>
      <c r="J34" s="10">
        <f>IFERROR(ROUNDDOWN(Table2[[#This Row],[22 Qty]]/(Table2[[#This Row],[PPH]]*10),0),"-")</f>
        <v>72</v>
      </c>
      <c r="K34" s="10">
        <v>145000</v>
      </c>
      <c r="P34"/>
      <c r="Q34" s="1"/>
    </row>
    <row r="35" spans="1:17" x14ac:dyDescent="0.25">
      <c r="A35" s="21"/>
      <c r="B35" s="21"/>
      <c r="C35" s="21"/>
      <c r="D35" s="21"/>
      <c r="E35" s="21"/>
      <c r="F35" s="21"/>
      <c r="G35" s="21"/>
      <c r="H35" s="21"/>
      <c r="I35" s="22"/>
      <c r="J35" s="22" t="str">
        <f>IFERROR(ROUNDDOWN(Table2[[#This Row],[22 Qty]]/(Table2[[#This Row],[PPH]]*10),0),"-")</f>
        <v>-</v>
      </c>
      <c r="K35" s="22"/>
      <c r="P35"/>
      <c r="Q35" s="1"/>
    </row>
    <row r="36" spans="1:17" x14ac:dyDescent="0.25">
      <c r="A36" s="35" t="s">
        <v>101</v>
      </c>
      <c r="B36" s="35" t="s">
        <v>51</v>
      </c>
      <c r="C36" s="35" t="s">
        <v>68</v>
      </c>
      <c r="D36" s="35"/>
      <c r="E36" s="35" t="s">
        <v>64</v>
      </c>
      <c r="F36" s="35" t="s">
        <v>1</v>
      </c>
      <c r="G36" s="35" t="s">
        <v>56</v>
      </c>
      <c r="H36" s="35" t="s">
        <v>57</v>
      </c>
      <c r="I36" s="36">
        <v>677</v>
      </c>
      <c r="J36" s="36">
        <f>IFERROR(ROUNDDOWN(Table2[[#This Row],[22 Qty]]/(Table2[[#This Row],[PPH]]*10),0),"-")</f>
        <v>75</v>
      </c>
      <c r="K36" s="36">
        <v>508500</v>
      </c>
      <c r="P36"/>
      <c r="Q36" s="1"/>
    </row>
    <row r="37" spans="1:17" x14ac:dyDescent="0.25">
      <c r="A37" s="17" t="s">
        <v>101</v>
      </c>
      <c r="B37" s="17" t="s">
        <v>52</v>
      </c>
      <c r="C37" s="17" t="s">
        <v>71</v>
      </c>
      <c r="D37" s="17"/>
      <c r="E37" s="17" t="s">
        <v>64</v>
      </c>
      <c r="F37" s="17" t="s">
        <v>1</v>
      </c>
      <c r="G37" s="17" t="s">
        <v>57</v>
      </c>
      <c r="H37" s="17" t="s">
        <v>57</v>
      </c>
      <c r="I37" s="18">
        <v>649</v>
      </c>
      <c r="J37" s="18">
        <f>IFERROR(ROUNDDOWN(Table2[[#This Row],[22 Qty]]/(Table2[[#This Row],[PPH]]*10),0),"-")</f>
        <v>26</v>
      </c>
      <c r="K37" s="18">
        <v>174000</v>
      </c>
      <c r="P37"/>
      <c r="Q37" s="1"/>
    </row>
    <row r="38" spans="1:17" x14ac:dyDescent="0.25">
      <c r="A38" s="17" t="s">
        <v>101</v>
      </c>
      <c r="B38" s="17" t="s">
        <v>53</v>
      </c>
      <c r="C38" s="17" t="s">
        <v>71</v>
      </c>
      <c r="D38" s="17"/>
      <c r="E38" s="17" t="s">
        <v>64</v>
      </c>
      <c r="F38" s="17" t="s">
        <v>1</v>
      </c>
      <c r="G38" s="17" t="s">
        <v>56</v>
      </c>
      <c r="H38" s="17" t="s">
        <v>57</v>
      </c>
      <c r="I38" s="18"/>
      <c r="J38" s="18" t="str">
        <f>IFERROR(ROUNDDOWN(Table2[[#This Row],[22 Qty]]/(Table2[[#This Row],[PPH]]*10),0),"-")</f>
        <v>-</v>
      </c>
      <c r="K38" s="18">
        <v>0</v>
      </c>
      <c r="P38"/>
      <c r="Q38" s="1"/>
    </row>
    <row r="39" spans="1:17" x14ac:dyDescent="0.25">
      <c r="A39" s="17" t="s">
        <v>101</v>
      </c>
      <c r="B39" s="17" t="s">
        <v>54</v>
      </c>
      <c r="C39" s="17" t="s">
        <v>71</v>
      </c>
      <c r="D39" s="17"/>
      <c r="E39" s="17" t="s">
        <v>64</v>
      </c>
      <c r="F39" s="17" t="s">
        <v>1</v>
      </c>
      <c r="G39" s="17" t="s">
        <v>57</v>
      </c>
      <c r="H39" s="17" t="s">
        <v>57</v>
      </c>
      <c r="I39" s="18"/>
      <c r="J39" s="18" t="str">
        <f>IFERROR(ROUNDDOWN(Table2[[#This Row],[22 Qty]]/(Table2[[#This Row],[PPH]]*10),0),"-")</f>
        <v>-</v>
      </c>
      <c r="K39" s="18">
        <v>0</v>
      </c>
      <c r="P39"/>
      <c r="Q39" s="1"/>
    </row>
    <row r="40" spans="1:17" x14ac:dyDescent="0.25">
      <c r="A40" s="27" t="s">
        <v>102</v>
      </c>
      <c r="B40" s="27" t="s">
        <v>14</v>
      </c>
      <c r="C40" s="27" t="s">
        <v>62</v>
      </c>
      <c r="D40" s="27" t="s">
        <v>189</v>
      </c>
      <c r="E40" s="27" t="s">
        <v>59</v>
      </c>
      <c r="F40" s="27" t="s">
        <v>4</v>
      </c>
      <c r="G40" s="27" t="s">
        <v>56</v>
      </c>
      <c r="H40" s="27"/>
      <c r="I40" s="28">
        <v>522</v>
      </c>
      <c r="J40" s="28">
        <f>IFERROR(ROUNDDOWN(Table2[[#This Row],[22 Qty]]/(Table2[[#This Row],[PPH]]*10),0),"-")</f>
        <v>68</v>
      </c>
      <c r="K40" s="28">
        <v>357600</v>
      </c>
      <c r="P40"/>
      <c r="Q40" s="1"/>
    </row>
    <row r="41" spans="1:17" x14ac:dyDescent="0.25">
      <c r="A41" s="38" t="s">
        <v>103</v>
      </c>
      <c r="B41" s="38" t="s">
        <v>167</v>
      </c>
      <c r="C41" s="38" t="s">
        <v>118</v>
      </c>
      <c r="D41" s="38" t="s">
        <v>104</v>
      </c>
      <c r="E41" s="38" t="s">
        <v>64</v>
      </c>
      <c r="F41" s="38" t="s">
        <v>4</v>
      </c>
      <c r="G41" s="38" t="s">
        <v>56</v>
      </c>
      <c r="H41" s="38"/>
      <c r="I41" s="39"/>
      <c r="J41" s="39" t="str">
        <f>IFERROR(ROUNDDOWN(Table2[[#This Row],[22 Qty]]/(Table2[[#This Row],[PPH]]*10),0),"-")</f>
        <v>-</v>
      </c>
      <c r="K41" s="39">
        <v>125000</v>
      </c>
      <c r="P41"/>
      <c r="Q41" s="1"/>
    </row>
    <row r="42" spans="1:17" s="43" customFormat="1" x14ac:dyDescent="0.25">
      <c r="A42" s="21"/>
      <c r="B42" s="21"/>
      <c r="C42" s="21"/>
      <c r="D42" s="21"/>
      <c r="E42" s="21"/>
      <c r="F42" s="21"/>
      <c r="G42" s="21"/>
      <c r="H42" s="21"/>
      <c r="I42" s="22"/>
      <c r="J42" s="22" t="str">
        <f>IFERROR(ROUNDDOWN(Table2[[#This Row],[22 Qty]]/(Table2[[#This Row],[PPH]]*10),0),"-")</f>
        <v>-</v>
      </c>
      <c r="K42" s="22"/>
      <c r="Q42" s="44"/>
    </row>
    <row r="43" spans="1:17" x14ac:dyDescent="0.25">
      <c r="A43" s="9" t="s">
        <v>76</v>
      </c>
      <c r="B43" s="9" t="s">
        <v>6</v>
      </c>
      <c r="C43" s="9" t="s">
        <v>55</v>
      </c>
      <c r="D43" s="9" t="s">
        <v>189</v>
      </c>
      <c r="E43" s="9" t="s">
        <v>59</v>
      </c>
      <c r="F43" s="9" t="s">
        <v>4</v>
      </c>
      <c r="G43" s="9" t="s">
        <v>56</v>
      </c>
      <c r="H43" s="9"/>
      <c r="I43" s="10">
        <v>665</v>
      </c>
      <c r="J43" s="10">
        <f>IFERROR(ROUNDDOWN(Table2[[#This Row],[22 Qty]]/(Table2[[#This Row],[PPH]]*10),0),"-")</f>
        <v>28</v>
      </c>
      <c r="K43" s="10">
        <v>191000</v>
      </c>
      <c r="P43"/>
      <c r="Q43" s="1"/>
    </row>
    <row r="44" spans="1:17" x14ac:dyDescent="0.25">
      <c r="A44" s="9" t="s">
        <v>76</v>
      </c>
      <c r="B44" s="9" t="s">
        <v>7</v>
      </c>
      <c r="C44" s="9" t="s">
        <v>55</v>
      </c>
      <c r="D44" s="9" t="s">
        <v>189</v>
      </c>
      <c r="E44" s="9" t="s">
        <v>59</v>
      </c>
      <c r="F44" s="9" t="s">
        <v>4</v>
      </c>
      <c r="G44" s="9" t="s">
        <v>57</v>
      </c>
      <c r="H44" s="9"/>
      <c r="I44" s="10">
        <v>643</v>
      </c>
      <c r="J44" s="10">
        <f>IFERROR(ROUNDDOWN(Table2[[#This Row],[22 Qty]]/(Table2[[#This Row],[PPH]]*10),0),"-")</f>
        <v>91</v>
      </c>
      <c r="K44" s="10">
        <v>590400</v>
      </c>
      <c r="P44"/>
      <c r="Q44" s="1"/>
    </row>
    <row r="45" spans="1:17" x14ac:dyDescent="0.25">
      <c r="A45" s="9" t="s">
        <v>76</v>
      </c>
      <c r="B45" s="9" t="s">
        <v>8</v>
      </c>
      <c r="C45" s="9" t="s">
        <v>55</v>
      </c>
      <c r="D45" s="9" t="s">
        <v>189</v>
      </c>
      <c r="E45" s="9" t="s">
        <v>59</v>
      </c>
      <c r="F45" s="9" t="s">
        <v>4</v>
      </c>
      <c r="G45" s="9" t="s">
        <v>57</v>
      </c>
      <c r="H45" s="9"/>
      <c r="I45" s="10">
        <v>663</v>
      </c>
      <c r="J45" s="10">
        <f>IFERROR(ROUNDDOWN(Table2[[#This Row],[22 Qty]]/(Table2[[#This Row],[PPH]]*10),0),"-")</f>
        <v>45</v>
      </c>
      <c r="K45" s="10">
        <v>303000</v>
      </c>
      <c r="P45"/>
      <c r="Q45" s="1"/>
    </row>
    <row r="46" spans="1:17" x14ac:dyDescent="0.25">
      <c r="A46" s="11" t="s">
        <v>77</v>
      </c>
      <c r="B46" s="11" t="s">
        <v>9</v>
      </c>
      <c r="C46" s="11" t="s">
        <v>55</v>
      </c>
      <c r="D46" s="11" t="s">
        <v>189</v>
      </c>
      <c r="E46" s="11" t="s">
        <v>59</v>
      </c>
      <c r="F46" s="11" t="s">
        <v>4</v>
      </c>
      <c r="G46" s="11" t="s">
        <v>56</v>
      </c>
      <c r="H46" s="11"/>
      <c r="I46" s="12">
        <v>616</v>
      </c>
      <c r="J46" s="12">
        <f>IFERROR(ROUNDDOWN(Table2[[#This Row],[22 Qty]]/(Table2[[#This Row],[PPH]]*10),0),"-")</f>
        <v>61</v>
      </c>
      <c r="K46" s="12">
        <v>377000</v>
      </c>
      <c r="L46" s="30"/>
      <c r="M46" s="31"/>
      <c r="P46"/>
      <c r="Q46" s="1"/>
    </row>
    <row r="47" spans="1:17" x14ac:dyDescent="0.25">
      <c r="A47" s="11" t="s">
        <v>77</v>
      </c>
      <c r="B47" s="11" t="s">
        <v>10</v>
      </c>
      <c r="C47" s="11" t="s">
        <v>55</v>
      </c>
      <c r="D47" s="11" t="s">
        <v>189</v>
      </c>
      <c r="E47" s="11" t="s">
        <v>59</v>
      </c>
      <c r="F47" s="11" t="s">
        <v>1</v>
      </c>
      <c r="G47" s="11" t="s">
        <v>57</v>
      </c>
      <c r="H47" s="11"/>
      <c r="I47" s="12">
        <v>643</v>
      </c>
      <c r="J47" s="12">
        <f>IFERROR(ROUNDDOWN(Table2[[#This Row],[22 Qty]]/(Table2[[#This Row],[PPH]]*10),0),"-")</f>
        <v>51</v>
      </c>
      <c r="K47" s="12">
        <v>328800</v>
      </c>
      <c r="P47"/>
      <c r="Q47" s="1"/>
    </row>
    <row r="48" spans="1:17" x14ac:dyDescent="0.25">
      <c r="A48" s="11" t="s">
        <v>77</v>
      </c>
      <c r="B48" s="11" t="s">
        <v>11</v>
      </c>
      <c r="C48" s="11" t="s">
        <v>55</v>
      </c>
      <c r="D48" s="11" t="s">
        <v>189</v>
      </c>
      <c r="E48" s="11" t="s">
        <v>59</v>
      </c>
      <c r="F48" s="11" t="s">
        <v>4</v>
      </c>
      <c r="G48" s="11" t="s">
        <v>57</v>
      </c>
      <c r="H48" s="11"/>
      <c r="I48" s="12">
        <v>634</v>
      </c>
      <c r="J48" s="12">
        <f>IFERROR(ROUNDDOWN(Table2[[#This Row],[22 Qty]]/(Table2[[#This Row],[PPH]]*10),0),"-")</f>
        <v>79</v>
      </c>
      <c r="K48" s="12">
        <v>505000</v>
      </c>
      <c r="P48"/>
      <c r="Q48" s="1"/>
    </row>
    <row r="49" spans="1:17" x14ac:dyDescent="0.25">
      <c r="A49" s="13" t="s">
        <v>78</v>
      </c>
      <c r="B49" s="13" t="s">
        <v>16</v>
      </c>
      <c r="C49" s="13" t="s">
        <v>62</v>
      </c>
      <c r="D49" s="13" t="s">
        <v>189</v>
      </c>
      <c r="E49" s="13" t="s">
        <v>59</v>
      </c>
      <c r="F49" s="13" t="s">
        <v>4</v>
      </c>
      <c r="G49" s="13" t="s">
        <v>57</v>
      </c>
      <c r="H49" s="13"/>
      <c r="I49" s="14">
        <v>587</v>
      </c>
      <c r="J49" s="14">
        <f>IFERROR(ROUNDDOWN(Table2[[#This Row],[22 Qty]]/(Table2[[#This Row],[PPH]]*10),0),"-")</f>
        <v>84</v>
      </c>
      <c r="K49" s="14">
        <v>496800</v>
      </c>
      <c r="P49"/>
      <c r="Q49" s="1"/>
    </row>
    <row r="50" spans="1:17" x14ac:dyDescent="0.25">
      <c r="A50" s="13" t="s">
        <v>78</v>
      </c>
      <c r="B50" s="13" t="s">
        <v>17</v>
      </c>
      <c r="C50" s="13" t="s">
        <v>62</v>
      </c>
      <c r="D50" s="13" t="s">
        <v>189</v>
      </c>
      <c r="E50" s="13" t="s">
        <v>59</v>
      </c>
      <c r="F50" s="13" t="s">
        <v>4</v>
      </c>
      <c r="G50" s="13" t="s">
        <v>56</v>
      </c>
      <c r="H50" s="13"/>
      <c r="I50" s="14">
        <v>585</v>
      </c>
      <c r="J50" s="14">
        <f>IFERROR(ROUNDDOWN(Table2[[#This Row],[22 Qty]]/(Table2[[#This Row],[PPH]]*10),0),"-")</f>
        <v>7</v>
      </c>
      <c r="K50" s="14">
        <v>45600</v>
      </c>
      <c r="P50"/>
      <c r="Q50" s="1"/>
    </row>
    <row r="51" spans="1:17" x14ac:dyDescent="0.25">
      <c r="A51" s="15" t="s">
        <v>79</v>
      </c>
      <c r="B51" s="15" t="s">
        <v>18</v>
      </c>
      <c r="C51" s="15" t="s">
        <v>67</v>
      </c>
      <c r="D51" s="15" t="s">
        <v>189</v>
      </c>
      <c r="E51" s="15" t="s">
        <v>3</v>
      </c>
      <c r="F51" s="15" t="s">
        <v>1</v>
      </c>
      <c r="G51" s="15" t="s">
        <v>57</v>
      </c>
      <c r="H51" s="15"/>
      <c r="I51" s="16">
        <v>648</v>
      </c>
      <c r="J51" s="16">
        <f>IFERROR(ROUNDDOWN(Table2[[#This Row],[22 Qty]]/(Table2[[#This Row],[PPH]]*10),0),"-")</f>
        <v>57</v>
      </c>
      <c r="K51" s="16">
        <v>375000</v>
      </c>
      <c r="P51"/>
      <c r="Q51" s="1"/>
    </row>
    <row r="52" spans="1:17" x14ac:dyDescent="0.25">
      <c r="A52" s="15" t="s">
        <v>79</v>
      </c>
      <c r="B52" s="15" t="s">
        <v>19</v>
      </c>
      <c r="C52" s="15" t="s">
        <v>67</v>
      </c>
      <c r="D52" s="15" t="s">
        <v>189</v>
      </c>
      <c r="E52" s="15" t="s">
        <v>3</v>
      </c>
      <c r="F52" s="15" t="s">
        <v>1</v>
      </c>
      <c r="G52" s="15" t="s">
        <v>57</v>
      </c>
      <c r="H52" s="15"/>
      <c r="I52" s="16">
        <v>593</v>
      </c>
      <c r="J52" s="16">
        <f>IFERROR(ROUNDDOWN(Table2[[#This Row],[22 Qty]]/(Table2[[#This Row],[PPH]]*10),0),"-")</f>
        <v>5</v>
      </c>
      <c r="K52" s="16">
        <v>31400</v>
      </c>
      <c r="P52"/>
      <c r="Q52" s="1"/>
    </row>
    <row r="53" spans="1:17" x14ac:dyDescent="0.25">
      <c r="A53" s="45" t="s">
        <v>80</v>
      </c>
      <c r="B53" s="45" t="s">
        <v>20</v>
      </c>
      <c r="C53" s="45" t="s">
        <v>62</v>
      </c>
      <c r="D53" s="45" t="s">
        <v>189</v>
      </c>
      <c r="E53" s="45" t="s">
        <v>59</v>
      </c>
      <c r="F53" s="45" t="s">
        <v>4</v>
      </c>
      <c r="G53" s="45" t="s">
        <v>56</v>
      </c>
      <c r="H53" s="45"/>
      <c r="I53" s="46">
        <v>581</v>
      </c>
      <c r="J53" s="46">
        <f>IFERROR(ROUNDDOWN(Table2[[#This Row],[22 Qty]]/(Table2[[#This Row],[PPH]]*10),0),"-")</f>
        <v>25</v>
      </c>
      <c r="K53" s="46">
        <v>146250</v>
      </c>
      <c r="P53"/>
      <c r="Q53" s="1"/>
    </row>
    <row r="54" spans="1:17" x14ac:dyDescent="0.25">
      <c r="A54" s="45" t="s">
        <v>80</v>
      </c>
      <c r="B54" s="45" t="s">
        <v>21</v>
      </c>
      <c r="C54" s="45" t="s">
        <v>62</v>
      </c>
      <c r="D54" s="45" t="s">
        <v>189</v>
      </c>
      <c r="E54" s="45" t="s">
        <v>59</v>
      </c>
      <c r="F54" s="45" t="s">
        <v>4</v>
      </c>
      <c r="G54" s="45" t="s">
        <v>57</v>
      </c>
      <c r="H54" s="45"/>
      <c r="I54" s="46">
        <v>642</v>
      </c>
      <c r="J54" s="46">
        <f>IFERROR(ROUNDDOWN(Table2[[#This Row],[22 Qty]]/(Table2[[#This Row],[PPH]]*10),0),"-")</f>
        <v>97</v>
      </c>
      <c r="K54" s="46">
        <v>624800</v>
      </c>
      <c r="P54"/>
      <c r="Q54" s="1"/>
    </row>
    <row r="55" spans="1:17" x14ac:dyDescent="0.25">
      <c r="A55" s="15" t="s">
        <v>81</v>
      </c>
      <c r="B55" s="15" t="s">
        <v>39</v>
      </c>
      <c r="C55" s="15" t="s">
        <v>63</v>
      </c>
      <c r="D55" s="15" t="s">
        <v>189</v>
      </c>
      <c r="E55" s="15"/>
      <c r="F55" s="15" t="s">
        <v>4</v>
      </c>
      <c r="G55" s="15" t="s">
        <v>56</v>
      </c>
      <c r="H55" s="15"/>
      <c r="I55" s="16">
        <v>594</v>
      </c>
      <c r="J55" s="16">
        <f>IFERROR(ROUNDDOWN(Table2[[#This Row],[22 Qty]]/(Table2[[#This Row],[PPH]]*10),0),"-")</f>
        <v>4</v>
      </c>
      <c r="K55" s="16">
        <v>24000</v>
      </c>
      <c r="P55"/>
      <c r="Q55" s="1"/>
    </row>
    <row r="56" spans="1:17" x14ac:dyDescent="0.25">
      <c r="A56" s="15" t="s">
        <v>81</v>
      </c>
      <c r="B56" s="15" t="s">
        <v>41</v>
      </c>
      <c r="C56" s="15" t="s">
        <v>63</v>
      </c>
      <c r="D56" s="15" t="s">
        <v>189</v>
      </c>
      <c r="E56" s="15" t="s">
        <v>59</v>
      </c>
      <c r="F56" s="15" t="s">
        <v>4</v>
      </c>
      <c r="G56" s="15" t="s">
        <v>56</v>
      </c>
      <c r="H56" s="15"/>
      <c r="I56" s="16">
        <v>635</v>
      </c>
      <c r="J56" s="16">
        <f>IFERROR(ROUNDDOWN(Table2[[#This Row],[22 Qty]]/(Table2[[#This Row],[PPH]]*10),0),"-")</f>
        <v>6</v>
      </c>
      <c r="K56" s="16">
        <v>44000</v>
      </c>
      <c r="P56"/>
      <c r="Q56" s="1"/>
    </row>
    <row r="57" spans="1:17" x14ac:dyDescent="0.25">
      <c r="A57" s="15" t="s">
        <v>81</v>
      </c>
      <c r="B57" s="15" t="s">
        <v>42</v>
      </c>
      <c r="C57" s="15" t="s">
        <v>63</v>
      </c>
      <c r="D57" s="15" t="s">
        <v>189</v>
      </c>
      <c r="E57" s="15" t="s">
        <v>64</v>
      </c>
      <c r="F57" s="15" t="s">
        <v>4</v>
      </c>
      <c r="G57" s="15" t="s">
        <v>56</v>
      </c>
      <c r="H57" s="15"/>
      <c r="I57" s="16">
        <v>541</v>
      </c>
      <c r="J57" s="16">
        <f>IFERROR(ROUNDDOWN(Table2[[#This Row],[22 Qty]]/(Table2[[#This Row],[PPH]]*10),0),"-")</f>
        <v>11</v>
      </c>
      <c r="K57" s="16">
        <v>61600</v>
      </c>
      <c r="P57"/>
      <c r="Q57" s="1"/>
    </row>
    <row r="58" spans="1:17" x14ac:dyDescent="0.25">
      <c r="A58" s="15" t="s">
        <v>81</v>
      </c>
      <c r="B58" s="15" t="s">
        <v>185</v>
      </c>
      <c r="C58" s="15" t="s">
        <v>66</v>
      </c>
      <c r="D58" s="15" t="s">
        <v>189</v>
      </c>
      <c r="E58" s="15"/>
      <c r="F58" s="15"/>
      <c r="G58" s="15"/>
      <c r="H58" s="15"/>
      <c r="I58" s="16">
        <v>568</v>
      </c>
      <c r="J58" s="16">
        <f>IFERROR(ROUNDDOWN(Table2[[#This Row],[22 Qty]]/(Table2[[#This Row],[PPH]]*10),0),"-")</f>
        <v>1</v>
      </c>
      <c r="K58" s="16">
        <v>8000</v>
      </c>
      <c r="P58"/>
      <c r="Q58" s="1"/>
    </row>
    <row r="59" spans="1:17" x14ac:dyDescent="0.25">
      <c r="A59" s="38" t="s">
        <v>82</v>
      </c>
      <c r="B59" s="38" t="s">
        <v>25</v>
      </c>
      <c r="C59" s="38" t="s">
        <v>71</v>
      </c>
      <c r="D59" s="38" t="s">
        <v>189</v>
      </c>
      <c r="E59" s="38" t="s">
        <v>64</v>
      </c>
      <c r="F59" s="38" t="s">
        <v>1</v>
      </c>
      <c r="G59" s="38" t="s">
        <v>57</v>
      </c>
      <c r="H59" s="38" t="s">
        <v>57</v>
      </c>
      <c r="I59" s="39">
        <v>750</v>
      </c>
      <c r="J59" s="39">
        <f>IFERROR(ROUNDDOWN(Table2[[#This Row],[22 Qty]]/(Table2[[#This Row],[PPH]]*10),0),"-")</f>
        <v>91</v>
      </c>
      <c r="K59" s="39">
        <v>688000</v>
      </c>
    </row>
    <row r="60" spans="1:17" x14ac:dyDescent="0.25">
      <c r="A60" s="23" t="s">
        <v>83</v>
      </c>
      <c r="B60" s="23" t="s">
        <v>175</v>
      </c>
      <c r="C60" s="23" t="s">
        <v>72</v>
      </c>
      <c r="D60" s="23" t="s">
        <v>61</v>
      </c>
      <c r="E60" s="23"/>
      <c r="F60" s="23"/>
      <c r="G60" s="23" t="s">
        <v>57</v>
      </c>
      <c r="H60" s="23"/>
      <c r="I60" s="24">
        <v>731</v>
      </c>
      <c r="J60" s="24">
        <f>IFERROR(ROUNDDOWN(Table2[[#This Row],[22 Qty]]/(Table2[[#This Row],[PPH]]*10),0),"-")</f>
        <v>50</v>
      </c>
      <c r="K60" s="24">
        <v>372300</v>
      </c>
    </row>
    <row r="61" spans="1:17" x14ac:dyDescent="0.25">
      <c r="A61" s="23" t="s">
        <v>83</v>
      </c>
      <c r="B61" s="23" t="s">
        <v>26</v>
      </c>
      <c r="C61" s="23" t="s">
        <v>72</v>
      </c>
      <c r="D61" s="23" t="s">
        <v>61</v>
      </c>
      <c r="E61" s="23" t="s">
        <v>59</v>
      </c>
      <c r="F61" s="23" t="s">
        <v>4</v>
      </c>
      <c r="G61" s="23" t="s">
        <v>57</v>
      </c>
      <c r="H61" s="23"/>
      <c r="I61" s="24">
        <v>763</v>
      </c>
      <c r="J61" s="24">
        <f>IFERROR(ROUNDDOWN(Table2[[#This Row],[22 Qty]]/(Table2[[#This Row],[PPH]]*10),0),"-")</f>
        <v>71</v>
      </c>
      <c r="K61" s="24">
        <v>548500</v>
      </c>
    </row>
    <row r="62" spans="1:17" x14ac:dyDescent="0.25">
      <c r="A62" s="23" t="s">
        <v>83</v>
      </c>
      <c r="B62" s="23" t="s">
        <v>184</v>
      </c>
      <c r="C62" s="23" t="s">
        <v>72</v>
      </c>
      <c r="D62" s="23" t="s">
        <v>61</v>
      </c>
      <c r="E62" s="23"/>
      <c r="F62" s="23"/>
      <c r="G62" s="23"/>
      <c r="H62" s="23"/>
      <c r="I62" s="24">
        <v>708</v>
      </c>
      <c r="J62" s="24">
        <f>IFERROR(ROUNDDOWN(Table2[[#This Row],[22 Qty]]/(Table2[[#This Row],[PPH]]*10),0),"-")</f>
        <v>3</v>
      </c>
      <c r="K62" s="24">
        <v>22500</v>
      </c>
    </row>
    <row r="63" spans="1:17" x14ac:dyDescent="0.25">
      <c r="A63" s="38" t="s">
        <v>84</v>
      </c>
      <c r="B63" s="38" t="s">
        <v>27</v>
      </c>
      <c r="C63" s="38" t="s">
        <v>71</v>
      </c>
      <c r="D63" s="38" t="s">
        <v>61</v>
      </c>
      <c r="E63" s="38" t="s">
        <v>64</v>
      </c>
      <c r="F63" s="38" t="s">
        <v>1</v>
      </c>
      <c r="G63" s="38" t="s">
        <v>56</v>
      </c>
      <c r="H63" s="38" t="s">
        <v>57</v>
      </c>
      <c r="I63" s="39">
        <v>727</v>
      </c>
      <c r="J63" s="39">
        <f>IFERROR(ROUNDDOWN(Table2[[#This Row],[22 Qty]]/(Table2[[#This Row],[PPH]]*10),0),"-")</f>
        <v>196</v>
      </c>
      <c r="K63" s="39">
        <v>1430500</v>
      </c>
    </row>
    <row r="64" spans="1:17" x14ac:dyDescent="0.25">
      <c r="A64" s="21"/>
      <c r="B64" s="21"/>
      <c r="C64" s="21"/>
      <c r="D64" s="21"/>
      <c r="E64" s="21"/>
      <c r="F64" s="21"/>
      <c r="G64" s="21"/>
      <c r="H64" s="21"/>
      <c r="I64" s="22"/>
      <c r="J64" s="22" t="str">
        <f>IFERROR(ROUNDDOWN(Table2[[#This Row],[22 Qty]]/(Table2[[#This Row],[PPH]]*10),0),"-")</f>
        <v>-</v>
      </c>
      <c r="K64" s="22"/>
    </row>
    <row r="65" spans="1:11" x14ac:dyDescent="0.25">
      <c r="A65" s="11" t="s">
        <v>85</v>
      </c>
      <c r="B65" s="11" t="s">
        <v>28</v>
      </c>
      <c r="C65" s="11" t="s">
        <v>72</v>
      </c>
      <c r="D65" s="11" t="s">
        <v>189</v>
      </c>
      <c r="E65" s="11" t="s">
        <v>59</v>
      </c>
      <c r="F65" s="11" t="s">
        <v>4</v>
      </c>
      <c r="G65" s="11" t="s">
        <v>56</v>
      </c>
      <c r="H65" s="11"/>
      <c r="I65" s="12">
        <v>638</v>
      </c>
      <c r="J65" s="12">
        <f>IFERROR(ROUNDDOWN(Table2[[#This Row],[22 Qty]]/(Table2[[#This Row],[PPH]]*10),0),"-")</f>
        <v>7</v>
      </c>
      <c r="K65" s="12">
        <v>47000</v>
      </c>
    </row>
    <row r="66" spans="1:11" x14ac:dyDescent="0.25">
      <c r="A66" s="11" t="s">
        <v>85</v>
      </c>
      <c r="B66" s="11" t="s">
        <v>29</v>
      </c>
      <c r="C66" s="11" t="s">
        <v>72</v>
      </c>
      <c r="D66" s="11" t="s">
        <v>189</v>
      </c>
      <c r="E66" s="11" t="s">
        <v>59</v>
      </c>
      <c r="F66" s="11" t="s">
        <v>4</v>
      </c>
      <c r="G66" s="11" t="s">
        <v>57</v>
      </c>
      <c r="H66" s="11"/>
      <c r="I66" s="12">
        <v>660</v>
      </c>
      <c r="J66" s="12">
        <f>IFERROR(ROUNDDOWN(Table2[[#This Row],[22 Qty]]/(Table2[[#This Row],[PPH]]*10),0),"-")</f>
        <v>11</v>
      </c>
      <c r="K66" s="12">
        <v>73500</v>
      </c>
    </row>
    <row r="67" spans="1:11" x14ac:dyDescent="0.25">
      <c r="A67" s="11" t="s">
        <v>85</v>
      </c>
      <c r="B67" s="11" t="s">
        <v>30</v>
      </c>
      <c r="C67" s="11" t="s">
        <v>72</v>
      </c>
      <c r="D67" s="11" t="s">
        <v>189</v>
      </c>
      <c r="E67" s="11" t="s">
        <v>59</v>
      </c>
      <c r="F67" s="11" t="s">
        <v>4</v>
      </c>
      <c r="G67" s="11" t="s">
        <v>57</v>
      </c>
      <c r="H67" s="11"/>
      <c r="I67" s="12">
        <v>552</v>
      </c>
      <c r="J67" s="12">
        <f>IFERROR(ROUNDDOWN(Table2[[#This Row],[22 Qty]]/(Table2[[#This Row],[PPH]]*10),0),"-")</f>
        <v>1</v>
      </c>
      <c r="K67" s="12">
        <v>9000</v>
      </c>
    </row>
    <row r="68" spans="1:11" x14ac:dyDescent="0.25">
      <c r="A68" s="9" t="s">
        <v>86</v>
      </c>
      <c r="B68" s="9" t="s">
        <v>31</v>
      </c>
      <c r="C68" s="25" t="s">
        <v>74</v>
      </c>
      <c r="D68" s="25" t="s">
        <v>70</v>
      </c>
      <c r="E68" s="25" t="s">
        <v>64</v>
      </c>
      <c r="F68" s="25"/>
      <c r="G68" s="25" t="s">
        <v>57</v>
      </c>
      <c r="H68" s="25"/>
      <c r="I68" s="10">
        <v>654</v>
      </c>
      <c r="J68" s="10">
        <f>IFERROR(ROUNDDOWN(Table2[[#This Row],[22 Qty]]/(Table2[[#This Row],[PPH]]*10),0),"-")</f>
        <v>54</v>
      </c>
      <c r="K68" s="10">
        <v>355500</v>
      </c>
    </row>
    <row r="69" spans="1:11" x14ac:dyDescent="0.25">
      <c r="A69" s="9" t="s">
        <v>86</v>
      </c>
      <c r="B69" s="9" t="s">
        <v>32</v>
      </c>
      <c r="C69" s="25" t="s">
        <v>74</v>
      </c>
      <c r="D69" s="25" t="s">
        <v>70</v>
      </c>
      <c r="E69" s="25" t="s">
        <v>64</v>
      </c>
      <c r="F69" s="25" t="s">
        <v>1</v>
      </c>
      <c r="G69" s="25" t="s">
        <v>57</v>
      </c>
      <c r="H69" s="25"/>
      <c r="I69" s="10">
        <v>795</v>
      </c>
      <c r="J69" s="10">
        <f>IFERROR(ROUNDDOWN(Table2[[#This Row],[22 Qty]]/(Table2[[#This Row],[PPH]]*10),0),"-")</f>
        <v>35</v>
      </c>
      <c r="K69" s="10">
        <v>284300</v>
      </c>
    </row>
    <row r="70" spans="1:11" x14ac:dyDescent="0.25">
      <c r="A70" s="13" t="s">
        <v>87</v>
      </c>
      <c r="B70" s="13" t="s">
        <v>34</v>
      </c>
      <c r="C70" s="13" t="s">
        <v>63</v>
      </c>
      <c r="D70" s="13" t="s">
        <v>61</v>
      </c>
      <c r="E70" s="13" t="s">
        <v>3</v>
      </c>
      <c r="F70" s="13" t="s">
        <v>69</v>
      </c>
      <c r="G70" s="13" t="s">
        <v>57</v>
      </c>
      <c r="H70" s="13"/>
      <c r="I70" s="14">
        <v>347</v>
      </c>
      <c r="J70" s="14">
        <f>IFERROR(ROUNDDOWN(Table2[[#This Row],[22 Qty]]/(Table2[[#This Row],[PPH]]*10),0),"-")</f>
        <v>4</v>
      </c>
      <c r="K70" s="14">
        <v>15200</v>
      </c>
    </row>
    <row r="71" spans="1:11" x14ac:dyDescent="0.25">
      <c r="A71" s="13" t="s">
        <v>87</v>
      </c>
      <c r="B71" s="13" t="s">
        <v>35</v>
      </c>
      <c r="C71" s="13" t="s">
        <v>63</v>
      </c>
      <c r="D71" s="13" t="s">
        <v>61</v>
      </c>
      <c r="E71" s="13" t="s">
        <v>3</v>
      </c>
      <c r="F71" s="13" t="s">
        <v>1</v>
      </c>
      <c r="G71" s="13" t="s">
        <v>56</v>
      </c>
      <c r="H71" s="13"/>
      <c r="I71" s="14">
        <v>562</v>
      </c>
      <c r="J71" s="14">
        <f>IFERROR(ROUNDDOWN(Table2[[#This Row],[22 Qty]]/(Table2[[#This Row],[PPH]]*10),0),"-")</f>
        <v>30</v>
      </c>
      <c r="K71" s="14">
        <v>170640</v>
      </c>
    </row>
    <row r="72" spans="1:11" x14ac:dyDescent="0.25">
      <c r="A72" s="13" t="s">
        <v>87</v>
      </c>
      <c r="B72" s="13" t="s">
        <v>36</v>
      </c>
      <c r="C72" s="13" t="s">
        <v>63</v>
      </c>
      <c r="D72" s="13" t="s">
        <v>61</v>
      </c>
      <c r="E72" s="13" t="s">
        <v>3</v>
      </c>
      <c r="F72" s="13" t="s">
        <v>69</v>
      </c>
      <c r="G72" s="13" t="s">
        <v>57</v>
      </c>
      <c r="H72" s="13"/>
      <c r="I72" s="14">
        <v>539</v>
      </c>
      <c r="J72" s="14">
        <f>IFERROR(ROUNDDOWN(Table2[[#This Row],[22 Qty]]/(Table2[[#This Row],[PPH]]*10),0),"-")</f>
        <v>65</v>
      </c>
      <c r="K72" s="14">
        <v>354400</v>
      </c>
    </row>
    <row r="73" spans="1:11" x14ac:dyDescent="0.25">
      <c r="A73" s="13" t="s">
        <v>87</v>
      </c>
      <c r="B73" s="13" t="s">
        <v>37</v>
      </c>
      <c r="C73" s="13" t="s">
        <v>66</v>
      </c>
      <c r="D73" s="13" t="s">
        <v>61</v>
      </c>
      <c r="E73" s="13" t="s">
        <v>3</v>
      </c>
      <c r="F73" s="13" t="s">
        <v>4</v>
      </c>
      <c r="G73" s="13" t="s">
        <v>57</v>
      </c>
      <c r="H73" s="13"/>
      <c r="I73" s="14">
        <v>603</v>
      </c>
      <c r="J73" s="14">
        <f>IFERROR(ROUNDDOWN(Table2[[#This Row],[22 Qty]]/(Table2[[#This Row],[PPH]]*10),0),"-")</f>
        <v>47</v>
      </c>
      <c r="K73" s="14">
        <v>287200</v>
      </c>
    </row>
    <row r="74" spans="1:11" x14ac:dyDescent="0.25">
      <c r="A74" s="38" t="s">
        <v>88</v>
      </c>
      <c r="B74" s="38" t="s">
        <v>38</v>
      </c>
      <c r="C74" s="38" t="s">
        <v>71</v>
      </c>
      <c r="D74" s="38" t="s">
        <v>189</v>
      </c>
      <c r="E74" s="38" t="s">
        <v>64</v>
      </c>
      <c r="F74" s="38" t="s">
        <v>1</v>
      </c>
      <c r="G74" s="38" t="s">
        <v>57</v>
      </c>
      <c r="H74" s="38" t="s">
        <v>57</v>
      </c>
      <c r="I74" s="39">
        <v>887</v>
      </c>
      <c r="J74" s="39">
        <f>IFERROR(ROUNDDOWN(Table2[[#This Row],[22 Qty]]/(Table2[[#This Row],[PPH]]*10),0),"-")</f>
        <v>165</v>
      </c>
      <c r="K74" s="39">
        <v>1466000</v>
      </c>
    </row>
    <row r="75" spans="1:11" x14ac:dyDescent="0.25">
      <c r="A75" s="15" t="s">
        <v>89</v>
      </c>
      <c r="B75" s="15" t="s">
        <v>12</v>
      </c>
      <c r="C75" s="15" t="s">
        <v>62</v>
      </c>
      <c r="D75" s="15" t="s">
        <v>189</v>
      </c>
      <c r="E75" s="15" t="s">
        <v>59</v>
      </c>
      <c r="F75" s="15" t="s">
        <v>4</v>
      </c>
      <c r="G75" s="15" t="s">
        <v>56</v>
      </c>
      <c r="H75" s="15"/>
      <c r="I75" s="16">
        <v>625</v>
      </c>
      <c r="J75" s="16">
        <f>IFERROR(ROUNDDOWN(Table2[[#This Row],[22 Qty]]/(Table2[[#This Row],[PPH]]*10),0),"-")</f>
        <v>30</v>
      </c>
      <c r="K75" s="16">
        <v>193600</v>
      </c>
    </row>
    <row r="76" spans="1:11" x14ac:dyDescent="0.25">
      <c r="A76" s="15" t="s">
        <v>89</v>
      </c>
      <c r="B76" s="15" t="s">
        <v>15</v>
      </c>
      <c r="C76" s="15" t="s">
        <v>62</v>
      </c>
      <c r="D76" s="15" t="s">
        <v>189</v>
      </c>
      <c r="E76" s="15" t="s">
        <v>59</v>
      </c>
      <c r="F76" s="15" t="s">
        <v>4</v>
      </c>
      <c r="G76" s="15" t="s">
        <v>57</v>
      </c>
      <c r="H76" s="15"/>
      <c r="I76" s="16">
        <v>699</v>
      </c>
      <c r="J76" s="16">
        <f>IFERROR(ROUNDDOWN(Table2[[#This Row],[22 Qty]]/(Table2[[#This Row],[PPH]]*10),0),"-")</f>
        <v>96</v>
      </c>
      <c r="K76" s="16">
        <v>673300</v>
      </c>
    </row>
    <row r="77" spans="1:11" x14ac:dyDescent="0.25">
      <c r="A77" s="17" t="s">
        <v>90</v>
      </c>
      <c r="B77" s="17" t="s">
        <v>134</v>
      </c>
      <c r="C77" s="17" t="s">
        <v>66</v>
      </c>
      <c r="D77" s="17" t="s">
        <v>189</v>
      </c>
      <c r="E77" s="17" t="s">
        <v>59</v>
      </c>
      <c r="F77" s="17" t="s">
        <v>4</v>
      </c>
      <c r="G77" s="17" t="s">
        <v>56</v>
      </c>
      <c r="H77" s="17"/>
      <c r="I77" s="18">
        <v>548</v>
      </c>
      <c r="J77" s="18">
        <f>IFERROR(ROUNDDOWN(Table2[[#This Row],[22 Qty]]/(Table2[[#This Row],[PPH]]*10),0),"-")</f>
        <v>9</v>
      </c>
      <c r="K77" s="18">
        <v>53000</v>
      </c>
    </row>
    <row r="78" spans="1:11" x14ac:dyDescent="0.25">
      <c r="A78" s="17" t="s">
        <v>90</v>
      </c>
      <c r="B78" s="17" t="s">
        <v>40</v>
      </c>
      <c r="C78" s="17" t="s">
        <v>66</v>
      </c>
      <c r="D78" s="17" t="s">
        <v>189</v>
      </c>
      <c r="E78" s="17" t="s">
        <v>59</v>
      </c>
      <c r="F78" s="17" t="s">
        <v>4</v>
      </c>
      <c r="G78" s="17" t="s">
        <v>57</v>
      </c>
      <c r="H78" s="26"/>
      <c r="I78" s="18"/>
      <c r="J78" s="18" t="str">
        <f>IFERROR(ROUNDDOWN(Table2[[#This Row],[22 Qty]]/(Table2[[#This Row],[PPH]]*10),0),"-")</f>
        <v>-</v>
      </c>
      <c r="K78" s="18">
        <v>0</v>
      </c>
    </row>
    <row r="79" spans="1:11" x14ac:dyDescent="0.25">
      <c r="A79" s="45" t="s">
        <v>90</v>
      </c>
      <c r="B79" s="45" t="s">
        <v>123</v>
      </c>
      <c r="C79" s="45" t="s">
        <v>124</v>
      </c>
      <c r="D79" s="45" t="s">
        <v>189</v>
      </c>
      <c r="E79" s="45" t="s">
        <v>64</v>
      </c>
      <c r="F79" s="45" t="s">
        <v>1</v>
      </c>
      <c r="G79" s="45" t="s">
        <v>56</v>
      </c>
      <c r="H79" s="45"/>
      <c r="I79" s="46">
        <v>500</v>
      </c>
      <c r="J79" s="46">
        <f>IFERROR(ROUNDDOWN(Table2[[#This Row],[22 Qty]]/(Table2[[#This Row],[PPH]]*10),0),"-")</f>
        <v>4</v>
      </c>
      <c r="K79" s="46">
        <v>23100</v>
      </c>
    </row>
    <row r="80" spans="1:11" x14ac:dyDescent="0.25">
      <c r="A80" s="17" t="s">
        <v>90</v>
      </c>
      <c r="B80" s="17" t="s">
        <v>45</v>
      </c>
      <c r="C80" s="26" t="s">
        <v>66</v>
      </c>
      <c r="D80" s="26" t="s">
        <v>189</v>
      </c>
      <c r="E80" s="26" t="s">
        <v>59</v>
      </c>
      <c r="F80" s="26" t="s">
        <v>4</v>
      </c>
      <c r="G80" s="26" t="s">
        <v>57</v>
      </c>
      <c r="H80" s="26"/>
      <c r="I80" s="18">
        <v>639</v>
      </c>
      <c r="J80" s="18">
        <f>IFERROR(ROUNDDOWN(Table2[[#This Row],[22 Qty]]/(Table2[[#This Row],[PPH]]*10),0),"-")</f>
        <v>10</v>
      </c>
      <c r="K80" s="18">
        <v>70000</v>
      </c>
    </row>
    <row r="81" spans="1:11" x14ac:dyDescent="0.25">
      <c r="A81" s="17" t="s">
        <v>90</v>
      </c>
      <c r="B81" s="17" t="s">
        <v>43</v>
      </c>
      <c r="C81" s="17" t="s">
        <v>66</v>
      </c>
      <c r="D81" s="17" t="s">
        <v>189</v>
      </c>
      <c r="E81" s="17" t="s">
        <v>59</v>
      </c>
      <c r="F81" s="17" t="s">
        <v>4</v>
      </c>
      <c r="G81" s="17" t="s">
        <v>57</v>
      </c>
      <c r="H81" s="26"/>
      <c r="I81" s="18">
        <v>588</v>
      </c>
      <c r="J81" s="18">
        <f>IFERROR(ROUNDDOWN(Table2[[#This Row],[22 Qty]]/(Table2[[#This Row],[PPH]]*10),0),"-")</f>
        <v>10</v>
      </c>
      <c r="K81" s="18">
        <v>59000</v>
      </c>
    </row>
    <row r="82" spans="1:11" x14ac:dyDescent="0.25">
      <c r="A82" s="17" t="s">
        <v>90</v>
      </c>
      <c r="B82" s="17" t="s">
        <v>44</v>
      </c>
      <c r="C82" s="17" t="s">
        <v>66</v>
      </c>
      <c r="D82" s="17" t="s">
        <v>189</v>
      </c>
      <c r="E82" s="17" t="s">
        <v>59</v>
      </c>
      <c r="F82" s="17" t="s">
        <v>4</v>
      </c>
      <c r="G82" s="17" t="s">
        <v>57</v>
      </c>
      <c r="H82" s="26"/>
      <c r="I82" s="18">
        <v>631</v>
      </c>
      <c r="J82" s="18">
        <f>IFERROR(ROUNDDOWN(Table2[[#This Row],[22 Qty]]/(Table2[[#This Row],[PPH]]*10),0),"-")</f>
        <v>2</v>
      </c>
      <c r="K82" s="18">
        <v>15000</v>
      </c>
    </row>
    <row r="83" spans="1:11" x14ac:dyDescent="0.25">
      <c r="A83" s="9" t="s">
        <v>91</v>
      </c>
      <c r="B83" s="9" t="s">
        <v>22</v>
      </c>
      <c r="C83" s="9" t="s">
        <v>68</v>
      </c>
      <c r="D83" s="9" t="s">
        <v>189</v>
      </c>
      <c r="E83" s="9" t="s">
        <v>3</v>
      </c>
      <c r="F83" s="9" t="s">
        <v>69</v>
      </c>
      <c r="G83" s="9" t="s">
        <v>57</v>
      </c>
      <c r="H83" s="9"/>
      <c r="I83" s="10">
        <v>651</v>
      </c>
      <c r="J83" s="10">
        <f>IFERROR(ROUNDDOWN(Table2[[#This Row],[22 Qty]]/(Table2[[#This Row],[PPH]]*10),0),"-")</f>
        <v>51</v>
      </c>
      <c r="K83" s="10">
        <v>333000</v>
      </c>
    </row>
    <row r="84" spans="1:11" x14ac:dyDescent="0.25">
      <c r="A84" s="9" t="s">
        <v>91</v>
      </c>
      <c r="B84" s="9" t="s">
        <v>23</v>
      </c>
      <c r="C84" s="9" t="s">
        <v>68</v>
      </c>
      <c r="D84" s="9" t="s">
        <v>189</v>
      </c>
      <c r="E84" s="9" t="s">
        <v>3</v>
      </c>
      <c r="F84" s="9" t="s">
        <v>4</v>
      </c>
      <c r="G84" s="9" t="s">
        <v>56</v>
      </c>
      <c r="H84" s="9"/>
      <c r="I84" s="10">
        <v>548</v>
      </c>
      <c r="J84" s="10">
        <f>IFERROR(ROUNDDOWN(Table2[[#This Row],[22 Qty]]/(Table2[[#This Row],[PPH]]*10),0),"-")</f>
        <v>0</v>
      </c>
      <c r="K84" s="10">
        <v>4500</v>
      </c>
    </row>
    <row r="85" spans="1:11" x14ac:dyDescent="0.25">
      <c r="A85" s="9" t="s">
        <v>91</v>
      </c>
      <c r="B85" s="9" t="s">
        <v>46</v>
      </c>
      <c r="C85" s="9" t="s">
        <v>68</v>
      </c>
      <c r="D85" s="9" t="s">
        <v>189</v>
      </c>
      <c r="E85" s="9" t="s">
        <v>3</v>
      </c>
      <c r="F85" s="9" t="s">
        <v>69</v>
      </c>
      <c r="G85" s="9" t="s">
        <v>56</v>
      </c>
      <c r="H85" s="9"/>
      <c r="I85" s="10">
        <v>681</v>
      </c>
      <c r="J85" s="10">
        <f>IFERROR(ROUNDDOWN(Table2[[#This Row],[22 Qty]]/(Table2[[#This Row],[PPH]]*10),0),"-")</f>
        <v>56</v>
      </c>
      <c r="K85" s="10">
        <v>383000</v>
      </c>
    </row>
    <row r="86" spans="1:11" x14ac:dyDescent="0.25">
      <c r="A86" s="9" t="s">
        <v>91</v>
      </c>
      <c r="B86" s="9" t="s">
        <v>24</v>
      </c>
      <c r="C86" s="9" t="s">
        <v>68</v>
      </c>
      <c r="D86" s="9" t="s">
        <v>189</v>
      </c>
      <c r="E86" s="9" t="s">
        <v>3</v>
      </c>
      <c r="F86" s="9" t="s">
        <v>4</v>
      </c>
      <c r="G86" s="9" t="s">
        <v>57</v>
      </c>
      <c r="H86" s="9"/>
      <c r="I86" s="10"/>
      <c r="J86" s="10" t="str">
        <f>IFERROR(ROUNDDOWN(Table2[[#This Row],[22 Qty]]/(Table2[[#This Row],[PPH]]*10),0),"-")</f>
        <v>-</v>
      </c>
      <c r="K86" s="10">
        <v>8000</v>
      </c>
    </row>
    <row r="87" spans="1:11" x14ac:dyDescent="0.25">
      <c r="A87" s="13" t="s">
        <v>92</v>
      </c>
      <c r="B87" s="13" t="s">
        <v>13</v>
      </c>
      <c r="C87" s="13" t="s">
        <v>62</v>
      </c>
      <c r="D87" s="13" t="s">
        <v>189</v>
      </c>
      <c r="E87" s="13"/>
      <c r="F87" s="13" t="s">
        <v>4</v>
      </c>
      <c r="G87" s="13" t="s">
        <v>56</v>
      </c>
      <c r="H87" s="13"/>
      <c r="I87" s="14">
        <v>522</v>
      </c>
      <c r="J87" s="14">
        <f>IFERROR(ROUNDDOWN(Table2[[#This Row],[22 Qty]]/(Table2[[#This Row],[PPH]]*10),0),"-")</f>
        <v>24</v>
      </c>
      <c r="K87" s="14">
        <v>127200</v>
      </c>
    </row>
    <row r="88" spans="1:11" x14ac:dyDescent="0.25">
      <c r="A88" s="13" t="s">
        <v>92</v>
      </c>
      <c r="B88" s="13" t="s">
        <v>33</v>
      </c>
      <c r="C88" s="13" t="s">
        <v>62</v>
      </c>
      <c r="D88" s="13" t="s">
        <v>189</v>
      </c>
      <c r="E88" s="13" t="s">
        <v>3</v>
      </c>
      <c r="F88" s="13" t="s">
        <v>4</v>
      </c>
      <c r="G88" s="13" t="s">
        <v>56</v>
      </c>
      <c r="H88" s="13"/>
      <c r="I88" s="14">
        <v>554</v>
      </c>
      <c r="J88" s="14">
        <f>IFERROR(ROUNDDOWN(Table2[[#This Row],[22 Qty]]/(Table2[[#This Row],[PPH]]*10),0),"-")</f>
        <v>24</v>
      </c>
      <c r="K88" s="14">
        <v>138000</v>
      </c>
    </row>
    <row r="89" spans="1:11" x14ac:dyDescent="0.25">
      <c r="A89" s="13" t="s">
        <v>92</v>
      </c>
      <c r="B89" s="13" t="s">
        <v>47</v>
      </c>
      <c r="C89" s="13" t="s">
        <v>62</v>
      </c>
      <c r="D89" s="13" t="s">
        <v>189</v>
      </c>
      <c r="E89" s="13" t="s">
        <v>3</v>
      </c>
      <c r="F89" s="13" t="s">
        <v>4</v>
      </c>
      <c r="G89" s="13" t="s">
        <v>57</v>
      </c>
      <c r="H89" s="13"/>
      <c r="I89" s="14">
        <v>541</v>
      </c>
      <c r="J89" s="14">
        <f>IFERROR(ROUNDDOWN(Table2[[#This Row],[22 Qty]]/(Table2[[#This Row],[PPH]]*10),0),"-")</f>
        <v>33</v>
      </c>
      <c r="K89" s="14">
        <v>183000</v>
      </c>
    </row>
    <row r="90" spans="1:11" x14ac:dyDescent="0.25">
      <c r="A90" s="13" t="s">
        <v>92</v>
      </c>
      <c r="B90" s="13" t="s">
        <v>166</v>
      </c>
      <c r="C90" s="13" t="s">
        <v>62</v>
      </c>
      <c r="D90" s="13" t="s">
        <v>189</v>
      </c>
      <c r="E90" s="13" t="s">
        <v>3</v>
      </c>
      <c r="F90" s="13" t="s">
        <v>4</v>
      </c>
      <c r="G90" s="13" t="s">
        <v>56</v>
      </c>
      <c r="H90" s="13"/>
      <c r="I90" s="14">
        <v>473</v>
      </c>
      <c r="J90" s="14">
        <f>IFERROR(ROUNDDOWN(Table2[[#This Row],[22 Qty]]/(Table2[[#This Row],[PPH]]*10),0),"-")</f>
        <v>18</v>
      </c>
      <c r="K90" s="14">
        <v>85700</v>
      </c>
    </row>
    <row r="91" spans="1:11" x14ac:dyDescent="0.25">
      <c r="A91" s="15" t="s">
        <v>93</v>
      </c>
      <c r="B91" s="15" t="s">
        <v>49</v>
      </c>
      <c r="C91" s="15" t="s">
        <v>55</v>
      </c>
      <c r="D91" s="15" t="s">
        <v>61</v>
      </c>
      <c r="E91" s="15" t="s">
        <v>3</v>
      </c>
      <c r="F91" s="15" t="s">
        <v>4</v>
      </c>
      <c r="G91" s="15" t="s">
        <v>56</v>
      </c>
      <c r="H91" s="15"/>
      <c r="I91" s="16">
        <v>603</v>
      </c>
      <c r="J91" s="16">
        <f>IFERROR(ROUNDDOWN(Table2[[#This Row],[22 Qty]]/(Table2[[#This Row],[PPH]]*10),0),"-")</f>
        <v>41</v>
      </c>
      <c r="K91" s="16">
        <v>250800</v>
      </c>
    </row>
    <row r="92" spans="1:11" x14ac:dyDescent="0.25">
      <c r="A92" s="15" t="s">
        <v>93</v>
      </c>
      <c r="B92" s="15" t="s">
        <v>48</v>
      </c>
      <c r="C92" s="15" t="s">
        <v>55</v>
      </c>
      <c r="D92" s="15" t="s">
        <v>61</v>
      </c>
      <c r="E92" s="15" t="s">
        <v>3</v>
      </c>
      <c r="F92" s="15" t="s">
        <v>4</v>
      </c>
      <c r="G92" s="15" t="s">
        <v>56</v>
      </c>
      <c r="H92" s="15"/>
      <c r="I92" s="16">
        <v>590</v>
      </c>
      <c r="J92" s="16">
        <f>IFERROR(ROUNDDOWN(Table2[[#This Row],[22 Qty]]/(Table2[[#This Row],[PPH]]*10),0),"-")</f>
        <v>14</v>
      </c>
      <c r="K92" s="16">
        <v>84000</v>
      </c>
    </row>
    <row r="93" spans="1:11" x14ac:dyDescent="0.25">
      <c r="A93" s="38" t="s">
        <v>94</v>
      </c>
      <c r="B93" s="38" t="s">
        <v>50</v>
      </c>
      <c r="C93" s="38" t="s">
        <v>62</v>
      </c>
      <c r="D93" s="38" t="s">
        <v>189</v>
      </c>
      <c r="E93" s="38"/>
      <c r="F93" s="38" t="s">
        <v>4</v>
      </c>
      <c r="G93" s="38" t="s">
        <v>56</v>
      </c>
      <c r="H93" s="38"/>
      <c r="I93" s="39">
        <v>589</v>
      </c>
      <c r="J93" s="39">
        <f>IFERROR(ROUNDDOWN(Table2[[#This Row],[22 Qty]]/(Table2[[#This Row],[PPH]]*10),0),"-")</f>
        <v>134</v>
      </c>
      <c r="K93" s="39">
        <v>794400</v>
      </c>
    </row>
    <row r="94" spans="1:11" x14ac:dyDescent="0.25">
      <c r="A94" s="19"/>
      <c r="B94" s="19" t="s">
        <v>186</v>
      </c>
      <c r="C94" s="19" t="s">
        <v>119</v>
      </c>
      <c r="D94" s="19"/>
      <c r="E94" s="19"/>
      <c r="F94" s="19"/>
      <c r="G94" s="19"/>
      <c r="H94" s="19"/>
      <c r="I94" s="20"/>
      <c r="J94" s="20" t="str">
        <f>IFERROR(ROUNDDOWN(Table2[[#This Row],[22 Qty]]/(Table2[[#This Row],[PPH]]*10),0),"-")</f>
        <v>-</v>
      </c>
      <c r="K94" s="20">
        <v>5550</v>
      </c>
    </row>
    <row r="95" spans="1:11" x14ac:dyDescent="0.25">
      <c r="A95" s="19"/>
      <c r="B95" s="19" t="s">
        <v>187</v>
      </c>
      <c r="C95" s="19" t="s">
        <v>55</v>
      </c>
      <c r="D95" s="19"/>
      <c r="E95" s="19"/>
      <c r="F95" s="19"/>
      <c r="G95" s="19"/>
      <c r="H95" s="19"/>
      <c r="I95" s="20"/>
      <c r="J95" s="20" t="str">
        <f>IFERROR(ROUNDDOWN(Table2[[#This Row],[22 Qty]]/(Table2[[#This Row],[PPH]]*10),0),"-")</f>
        <v>-</v>
      </c>
      <c r="K95" s="20">
        <v>4300</v>
      </c>
    </row>
    <row r="96" spans="1:11" x14ac:dyDescent="0.25">
      <c r="A96" s="19"/>
      <c r="B96" s="19" t="s">
        <v>188</v>
      </c>
      <c r="C96" s="19" t="s">
        <v>71</v>
      </c>
      <c r="D96" s="19"/>
      <c r="E96" s="19"/>
      <c r="F96" s="19"/>
      <c r="G96" s="19"/>
      <c r="H96" s="19"/>
      <c r="I96" s="20"/>
      <c r="J96" s="20" t="str">
        <f>IFERROR(ROUNDDOWN(Table2[[#This Row],[22 Qty]]/(Table2[[#This Row],[PPH]]*10),0),"-")</f>
        <v>-</v>
      </c>
      <c r="K96" s="20">
        <v>0</v>
      </c>
    </row>
    <row r="97" spans="1:10" x14ac:dyDescent="0.25">
      <c r="A97" s="3"/>
      <c r="B97" s="3"/>
      <c r="C97" s="3"/>
      <c r="D97" s="3"/>
      <c r="E97" s="3"/>
      <c r="F97" s="3"/>
      <c r="G97" s="3"/>
      <c r="H97" s="3"/>
      <c r="I97" s="4"/>
      <c r="J97" s="4" t="str">
        <f>IFERROR(ROUNDDOWN(Table2[[#This Row],[22 Qty]]/(Table2[[#This Row],[PPH]]*10),0),"-")</f>
        <v>-</v>
      </c>
    </row>
  </sheetData>
  <phoneticPr fontId="2" type="noConversion"/>
  <conditionalFormatting sqref="B1:B1048576">
    <cfRule type="duplicateValues" dxfId="40" priority="4"/>
  </conditionalFormatting>
  <conditionalFormatting sqref="I2:I97">
    <cfRule type="cellIs" dxfId="39" priority="1" operator="between">
      <formula>1</formula>
      <formula>600</formula>
    </cfRule>
  </conditionalFormatting>
  <pageMargins left="0.5" right="0.25" top="0.75" bottom="0.75" header="0.3" footer="0.3"/>
  <pageSetup scale="81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702D1-6D68-486A-9C42-D240BF14308A}">
  <sheetPr>
    <pageSetUpPr fitToPage="1"/>
  </sheetPr>
  <dimension ref="A1:W52"/>
  <sheetViews>
    <sheetView topLeftCell="A7" workbookViewId="0">
      <selection activeCell="N17" sqref="N17"/>
    </sheetView>
  </sheetViews>
  <sheetFormatPr defaultRowHeight="15" x14ac:dyDescent="0.25"/>
  <cols>
    <col min="1" max="1" width="13.28515625" bestFit="1" customWidth="1"/>
    <col min="2" max="2" width="10.85546875" bestFit="1" customWidth="1"/>
    <col min="3" max="3" width="12" bestFit="1" customWidth="1"/>
    <col min="4" max="4" width="12" customWidth="1"/>
    <col min="5" max="5" width="12" hidden="1" customWidth="1"/>
    <col min="6" max="6" width="14" customWidth="1"/>
    <col min="7" max="7" width="13.85546875" customWidth="1"/>
    <col min="8" max="8" width="14.140625" customWidth="1"/>
    <col min="9" max="9" width="15.28515625" style="29" bestFit="1" customWidth="1"/>
    <col min="10" max="10" width="10.5703125" style="2" bestFit="1" customWidth="1"/>
    <col min="23" max="23" width="10.5703125" bestFit="1" customWidth="1"/>
  </cols>
  <sheetData>
    <row r="1" spans="1:23" x14ac:dyDescent="0.25">
      <c r="A1" s="2" t="s">
        <v>95</v>
      </c>
      <c r="B1" s="3" t="s">
        <v>96</v>
      </c>
      <c r="C1" s="2" t="s">
        <v>58</v>
      </c>
      <c r="D1" s="2" t="s">
        <v>98</v>
      </c>
      <c r="E1" s="2" t="s">
        <v>179</v>
      </c>
      <c r="F1" s="2" t="s">
        <v>178</v>
      </c>
      <c r="G1" s="2" t="s">
        <v>181</v>
      </c>
      <c r="H1" s="2" t="s">
        <v>180</v>
      </c>
      <c r="I1" s="4" t="s">
        <v>100</v>
      </c>
    </row>
    <row r="2" spans="1:23" x14ac:dyDescent="0.25">
      <c r="A2" s="2" t="s">
        <v>161</v>
      </c>
      <c r="B2" s="3" t="s">
        <v>119</v>
      </c>
      <c r="C2" s="2"/>
      <c r="D2" s="2">
        <f>COUNTIFS(Table2[Mach'#],Table3[[#This Row],[Machine]],Table2[PPH],"&gt;0")</f>
        <v>1</v>
      </c>
      <c r="E2" s="2">
        <f>SUMIF(Table2[Mach'#],Table3[[#This Row],[Machine]],Table2[PPH])</f>
        <v>251</v>
      </c>
      <c r="F2" s="2">
        <f>IFERROR(ROUNDDOWN(Table3[[#This Row],[ToT PPH]]/Table3[[#This Row],['# Jobs]],0),"-")</f>
        <v>251</v>
      </c>
      <c r="G2" s="2">
        <f>_xlfn.MAXIFS(Table2[PPH],Table2[Mach'#],Table3[[#This Row],[Machine]])-_xlfn.MINIFS(Table2[PPH],Table2[Mach'#],Table3[[#This Row],[Machine]])</f>
        <v>0</v>
      </c>
      <c r="H2" s="2">
        <f>SUMIF(Table2[Mach'#],Table3[[#This Row],[Machine]],Table2[Shifts])</f>
        <v>15</v>
      </c>
      <c r="I2" s="4">
        <f>SUMIF(Jobs!A:A,Machines!A2,Jobs!K:K)</f>
        <v>39000</v>
      </c>
      <c r="K2" s="40">
        <v>0</v>
      </c>
      <c r="L2" t="s">
        <v>182</v>
      </c>
      <c r="T2" s="2" t="s">
        <v>1</v>
      </c>
      <c r="U2" s="2" t="s">
        <v>97</v>
      </c>
      <c r="V2" s="2" t="s">
        <v>98</v>
      </c>
      <c r="W2" s="2" t="s">
        <v>100</v>
      </c>
    </row>
    <row r="3" spans="1:23" x14ac:dyDescent="0.25">
      <c r="A3" s="2" t="s">
        <v>153</v>
      </c>
      <c r="B3" s="3" t="s">
        <v>155</v>
      </c>
      <c r="C3" s="2" t="s">
        <v>64</v>
      </c>
      <c r="D3" s="2">
        <f>COUNTIFS(Table2[Mach'#],Table3[[#This Row],[Machine]],Table2[PPH],"&gt;0")</f>
        <v>1</v>
      </c>
      <c r="E3" s="2">
        <f>SUMIF(Table2[Mach'#],Table3[[#This Row],[Machine]],Table2[PPH])</f>
        <v>266</v>
      </c>
      <c r="F3" s="2">
        <f>IFERROR(ROUNDDOWN(Table3[[#This Row],[ToT PPH]]/Table3[[#This Row],['# Jobs]],0),"-")</f>
        <v>266</v>
      </c>
      <c r="G3" s="2">
        <f>_xlfn.MAXIFS(Table2[PPH],Table2[Mach'#],Table3[[#This Row],[Machine]])-_xlfn.MINIFS(Table2[PPH],Table2[Mach'#],Table3[[#This Row],[Machine]])</f>
        <v>0</v>
      </c>
      <c r="H3" s="2">
        <f>SUMIF(Table2[Mach'#],Table3[[#This Row],[Machine]],Table2[Shifts])</f>
        <v>48</v>
      </c>
      <c r="I3" s="4">
        <f>SUMIF(Jobs!A:A,Machines!A3,Jobs!K:K)</f>
        <v>128000</v>
      </c>
      <c r="K3" s="41">
        <v>0</v>
      </c>
      <c r="L3" t="s">
        <v>183</v>
      </c>
      <c r="T3" s="3" t="s">
        <v>71</v>
      </c>
      <c r="U3" s="2">
        <f>COUNTIF(Table3[Collet],$T3)</f>
        <v>7</v>
      </c>
      <c r="V3" s="2">
        <f>COUNTIF(Table2[Size],$T3)</f>
        <v>11</v>
      </c>
      <c r="W3" s="4">
        <f>SUMIF(Jobs!C:C,Table4[Size],Jobs!K:K)</f>
        <v>6271500</v>
      </c>
    </row>
    <row r="4" spans="1:23" x14ac:dyDescent="0.25">
      <c r="A4" s="2" t="s">
        <v>156</v>
      </c>
      <c r="B4" s="3" t="s">
        <v>165</v>
      </c>
      <c r="C4" s="2"/>
      <c r="D4" s="2">
        <f>COUNTIFS(Table2[Mach'#],Table3[[#This Row],[Machine]],Table2[PPH],"&gt;0")</f>
        <v>0</v>
      </c>
      <c r="E4" s="2">
        <f>SUMIF(Table2[Mach'#],Table3[[#This Row],[Machine]],Table2[PPH])</f>
        <v>0</v>
      </c>
      <c r="F4" s="2" t="str">
        <f>IFERROR(ROUNDDOWN(Table3[[#This Row],[ToT PPH]]/Table3[[#This Row],['# Jobs]],0),"-")</f>
        <v>-</v>
      </c>
      <c r="G4" s="2">
        <f>_xlfn.MAXIFS(Table2[PPH],Table2[Mach'#],Table3[[#This Row],[Machine]])-_xlfn.MINIFS(Table2[PPH],Table2[Mach'#],Table3[[#This Row],[Machine]])</f>
        <v>0</v>
      </c>
      <c r="H4" s="2">
        <f>SUMIF(Table2[Mach'#],Table3[[#This Row],[Machine]],Table2[Shifts])</f>
        <v>0</v>
      </c>
      <c r="I4" s="4">
        <f>SUMIF(Jobs!A:A,Machines!A4,Jobs!K:K)</f>
        <v>0</v>
      </c>
      <c r="T4" s="2" t="s">
        <v>68</v>
      </c>
      <c r="U4" s="2">
        <f>COUNTIF(Table3[Collet],$T4)</f>
        <v>1</v>
      </c>
      <c r="V4" s="2">
        <f>COUNTIF(Table2[Size],$T4)</f>
        <v>5</v>
      </c>
      <c r="W4" s="4">
        <f>SUMIF(Jobs!C:C,Table4[Size],Jobs!K:K)</f>
        <v>1237000</v>
      </c>
    </row>
    <row r="5" spans="1:23" x14ac:dyDescent="0.25">
      <c r="A5" s="2" t="s">
        <v>158</v>
      </c>
      <c r="B5" s="3" t="s">
        <v>160</v>
      </c>
      <c r="C5" s="2" t="s">
        <v>64</v>
      </c>
      <c r="D5" s="2">
        <f>COUNTIFS(Table2[Mach'#],Table3[[#This Row],[Machine]],Table2[PPH],"&gt;0")</f>
        <v>3</v>
      </c>
      <c r="E5" s="2">
        <f>SUMIF(Table2[Mach'#],Table3[[#This Row],[Machine]],Table2[PPH])</f>
        <v>3056</v>
      </c>
      <c r="F5" s="2">
        <f>IFERROR(ROUNDDOWN(Table3[[#This Row],[ToT PPH]]/Table3[[#This Row],['# Jobs]],0),"-")</f>
        <v>1018</v>
      </c>
      <c r="G5" s="2">
        <f>_xlfn.MAXIFS(Table2[PPH],Table2[Mach'#],Table3[[#This Row],[Machine]])-_xlfn.MINIFS(Table2[PPH],Table2[Mach'#],Table3[[#This Row],[Machine]])</f>
        <v>124</v>
      </c>
      <c r="H5" s="2">
        <f>SUMIF(Table2[Mach'#],Table3[[#This Row],[Machine]],Table2[Shifts])</f>
        <v>23</v>
      </c>
      <c r="I5" s="4">
        <f>SUMIF(Jobs!A:A,Machines!A5,Jobs!K:K)</f>
        <v>245275</v>
      </c>
      <c r="T5" s="3" t="s">
        <v>55</v>
      </c>
      <c r="U5" s="2">
        <f>COUNTIF(Table3[Collet],$T5)</f>
        <v>6</v>
      </c>
      <c r="V5" s="2">
        <f>COUNTIF(Table2[Size],$T5)</f>
        <v>11</v>
      </c>
      <c r="W5" s="4">
        <f>SUMIF(Jobs!C:C,Table4[Size],Jobs!K:K)</f>
        <v>3104600</v>
      </c>
    </row>
    <row r="6" spans="1:23" x14ac:dyDescent="0.25">
      <c r="A6" s="2" t="s">
        <v>162</v>
      </c>
      <c r="B6" s="3" t="s">
        <v>71</v>
      </c>
      <c r="C6" s="2"/>
      <c r="D6" s="2">
        <f>COUNTIFS(Table2[Mach'#],Table3[[#This Row],[Machine]],Table2[PPH],"&gt;0")</f>
        <v>1</v>
      </c>
      <c r="E6" s="2">
        <f>SUMIF(Table2[Mach'#],Table3[[#This Row],[Machine]],Table2[PPH])</f>
        <v>351</v>
      </c>
      <c r="F6" s="2">
        <f>IFERROR(ROUNDDOWN(Table3[[#This Row],[ToT PPH]]/Table3[[#This Row],['# Jobs]],0),"-")</f>
        <v>351</v>
      </c>
      <c r="G6" s="2">
        <f>_xlfn.MAXIFS(Table2[PPH],Table2[Mach'#],Table3[[#This Row],[Machine]])-_xlfn.MINIFS(Table2[PPH],Table2[Mach'#],Table3[[#This Row],[Machine]])</f>
        <v>0</v>
      </c>
      <c r="H6" s="2">
        <f>SUMIF(Table2[Mach'#],Table3[[#This Row],[Machine]],Table2[Shifts])</f>
        <v>76</v>
      </c>
      <c r="I6" s="4">
        <f>SUMIF(Jobs!A:A,Machines!A6,Jobs!K:K)</f>
        <v>270000</v>
      </c>
      <c r="T6" s="3" t="s">
        <v>67</v>
      </c>
      <c r="U6" s="2">
        <f>COUNTIF(Table3[Collet],$T6)</f>
        <v>1</v>
      </c>
      <c r="V6" s="2">
        <f>COUNTIF(Table2[Size],$T6)</f>
        <v>2</v>
      </c>
      <c r="W6" s="4">
        <f>SUMIF(Jobs!C:C,Table4[Size],Jobs!K:K)</f>
        <v>406400</v>
      </c>
    </row>
    <row r="7" spans="1:23" x14ac:dyDescent="0.25">
      <c r="A7" s="2" t="s">
        <v>164</v>
      </c>
      <c r="B7" s="3" t="s">
        <v>126</v>
      </c>
      <c r="C7" s="2"/>
      <c r="D7" s="2">
        <f>COUNTIFS(Table2[Mach'#],Table3[[#This Row],[Machine]],Table2[PPH],"&gt;0")</f>
        <v>1</v>
      </c>
      <c r="E7" s="2">
        <f>SUMIF(Table2[Mach'#],Table3[[#This Row],[Machine]],Table2[PPH])</f>
        <v>571</v>
      </c>
      <c r="F7" s="2">
        <f>IFERROR(ROUNDDOWN(Table3[[#This Row],[ToT PPH]]/Table3[[#This Row],['# Jobs]],0),"-")</f>
        <v>571</v>
      </c>
      <c r="G7" s="2">
        <f>_xlfn.MAXIFS(Table2[PPH],Table2[Mach'#],Table3[[#This Row],[Machine]])-_xlfn.MINIFS(Table2[PPH],Table2[Mach'#],Table3[[#This Row],[Machine]])</f>
        <v>0</v>
      </c>
      <c r="H7" s="2">
        <f>SUMIF(Table2[Mach'#],Table3[[#This Row],[Machine]],Table2[Shifts])</f>
        <v>105</v>
      </c>
      <c r="I7" s="4">
        <f>SUMIF(Jobs!A:A,Machines!A7,Jobs!K:K)</f>
        <v>600000</v>
      </c>
      <c r="T7" s="3" t="s">
        <v>63</v>
      </c>
      <c r="U7" s="2">
        <f>COUNTIF(Table3[Collet],$T7)</f>
        <v>3</v>
      </c>
      <c r="V7" s="2">
        <f>COUNTIF(Table2[Size],$T7)</f>
        <v>9</v>
      </c>
      <c r="W7" s="4">
        <f>SUMIF(Jobs!C:C,Table4[Size],Jobs!K:K)</f>
        <v>826615</v>
      </c>
    </row>
    <row r="8" spans="1:23" x14ac:dyDescent="0.25">
      <c r="A8" s="2" t="s">
        <v>106</v>
      </c>
      <c r="B8" s="3" t="s">
        <v>119</v>
      </c>
      <c r="C8" s="2"/>
      <c r="D8" s="2">
        <f>COUNTIFS(Table2[Mach'#],Table3[[#This Row],[Machine]],Table2[PPH],"&gt;0")</f>
        <v>4</v>
      </c>
      <c r="E8" s="2">
        <f>SUMIF(Table2[Mach'#],Table3[[#This Row],[Machine]],Table2[PPH])</f>
        <v>2323</v>
      </c>
      <c r="F8" s="2">
        <f>IFERROR(ROUNDDOWN(Table3[[#This Row],[ToT PPH]]/Table3[[#This Row],['# Jobs]],0),"-")</f>
        <v>580</v>
      </c>
      <c r="G8" s="2">
        <f>_xlfn.MAXIFS(Table2[PPH],Table2[Mach'#],Table3[[#This Row],[Machine]])-_xlfn.MINIFS(Table2[PPH],Table2[Mach'#],Table3[[#This Row],[Machine]])</f>
        <v>736</v>
      </c>
      <c r="H8" s="2">
        <f>SUMIF(Table2[Mach'#],Table3[[#This Row],[Machine]],Table2[Shifts])</f>
        <v>74</v>
      </c>
      <c r="I8" s="4">
        <f>SUMIF(Jobs!A:A,Machines!A8,Jobs!K:K)</f>
        <v>501100</v>
      </c>
      <c r="T8" s="3" t="s">
        <v>66</v>
      </c>
      <c r="U8" s="2">
        <f>COUNTIF(Table3[Collet],$T8)</f>
        <v>2</v>
      </c>
      <c r="V8" s="2">
        <f>COUNTIF(Table2[Size],$T8)</f>
        <v>9</v>
      </c>
      <c r="W8" s="4">
        <f>SUMIF(Jobs!C:C,Table4[Size],Jobs!K:K)</f>
        <v>493800</v>
      </c>
    </row>
    <row r="9" spans="1:23" x14ac:dyDescent="0.25">
      <c r="A9" s="2" t="s">
        <v>107</v>
      </c>
      <c r="B9" s="3" t="s">
        <v>122</v>
      </c>
      <c r="C9" s="2" t="s">
        <v>120</v>
      </c>
      <c r="D9" s="2">
        <f>COUNTIFS(Table2[Mach'#],Table3[[#This Row],[Machine]],Table2[PPH],"&gt;0")</f>
        <v>2</v>
      </c>
      <c r="E9" s="2">
        <f>SUMIF(Table2[Mach'#],Table3[[#This Row],[Machine]],Table2[PPH])</f>
        <v>1541</v>
      </c>
      <c r="F9" s="2">
        <f>IFERROR(ROUNDDOWN(Table3[[#This Row],[ToT PPH]]/Table3[[#This Row],['# Jobs]],0),"-")</f>
        <v>770</v>
      </c>
      <c r="G9" s="2">
        <f>_xlfn.MAXIFS(Table2[PPH],Table2[Mach'#],Table3[[#This Row],[Machine]])-_xlfn.MINIFS(Table2[PPH],Table2[Mach'#],Table3[[#This Row],[Machine]])</f>
        <v>3</v>
      </c>
      <c r="H9" s="2">
        <f>SUMIF(Table2[Mach'#],Table3[[#This Row],[Machine]],Table2[Shifts])</f>
        <v>53</v>
      </c>
      <c r="I9" s="4">
        <f>SUMIF(Jobs!A:A,Machines!A9,Jobs!K:K)</f>
        <v>414000</v>
      </c>
      <c r="T9" s="3" t="s">
        <v>74</v>
      </c>
      <c r="U9" s="2">
        <f>COUNTIF(Table3[Collet],$T9)</f>
        <v>1</v>
      </c>
      <c r="V9" s="2">
        <f>COUNTIF(Table2[Size],$T9)</f>
        <v>2</v>
      </c>
      <c r="W9" s="4">
        <f>SUMIF(Jobs!C:C,Table4[Size],Jobs!K:K)</f>
        <v>639800</v>
      </c>
    </row>
    <row r="10" spans="1:23" x14ac:dyDescent="0.25">
      <c r="A10" s="2" t="s">
        <v>105</v>
      </c>
      <c r="B10" s="3" t="s">
        <v>63</v>
      </c>
      <c r="C10" s="2" t="s">
        <v>64</v>
      </c>
      <c r="D10" s="2">
        <f>COUNTIFS(Table2[Mach'#],Table3[[#This Row],[Machine]],Table2[PPH],"&gt;0")</f>
        <v>3</v>
      </c>
      <c r="E10" s="2">
        <f>SUMIF(Table2[Mach'#],Table3[[#This Row],[Machine]],Table2[PPH])</f>
        <v>1983</v>
      </c>
      <c r="F10" s="2">
        <f>IFERROR(ROUNDDOWN(Table3[[#This Row],[ToT PPH]]/Table3[[#This Row],['# Jobs]],0),"-")</f>
        <v>661</v>
      </c>
      <c r="G10" s="2">
        <f>_xlfn.MAXIFS(Table2[PPH],Table2[Mach'#],Table3[[#This Row],[Machine]])-_xlfn.MINIFS(Table2[PPH],Table2[Mach'#],Table3[[#This Row],[Machine]])</f>
        <v>719</v>
      </c>
      <c r="H10" s="2">
        <f>SUMIF(Table2[Mach'#],Table3[[#This Row],[Machine]],Table2[Shifts])</f>
        <v>21</v>
      </c>
      <c r="I10" s="4">
        <f>SUMIF(Jobs!A:A,Machines!A10,Jobs!K:K)</f>
        <v>159375</v>
      </c>
      <c r="T10" s="3" t="s">
        <v>62</v>
      </c>
      <c r="U10" s="2">
        <f>COUNTIF(Table3[Collet],$T10)</f>
        <v>5</v>
      </c>
      <c r="V10" s="2">
        <f>COUNTIF(Table2[Size],$T10)</f>
        <v>13</v>
      </c>
      <c r="W10" s="4">
        <f>SUMIF(Jobs!C:C,Table4[Size],Jobs!K:K)</f>
        <v>3868850</v>
      </c>
    </row>
    <row r="11" spans="1:23" x14ac:dyDescent="0.25">
      <c r="A11" s="2" t="s">
        <v>127</v>
      </c>
      <c r="B11" s="3" t="s">
        <v>71</v>
      </c>
      <c r="C11" s="2" t="s">
        <v>59</v>
      </c>
      <c r="D11" s="2">
        <f>COUNTIFS(Table2[Mach'#],Table3[[#This Row],[Machine]],Table2[PPH],"&gt;0")</f>
        <v>1</v>
      </c>
      <c r="E11" s="2">
        <f>SUMIF(Table2[Mach'#],Table3[[#This Row],[Machine]],Table2[PPH])</f>
        <v>660</v>
      </c>
      <c r="F11" s="2">
        <f>IFERROR(ROUNDDOWN(Table3[[#This Row],[ToT PPH]]/Table3[[#This Row],['# Jobs]],0),"-")</f>
        <v>660</v>
      </c>
      <c r="G11" s="2">
        <f>_xlfn.MAXIFS(Table2[PPH],Table2[Mach'#],Table3[[#This Row],[Machine]])-_xlfn.MINIFS(Table2[PPH],Table2[Mach'#],Table3[[#This Row],[Machine]])</f>
        <v>0</v>
      </c>
      <c r="H11" s="2">
        <f>SUMIF(Table2[Mach'#],Table3[[#This Row],[Machine]],Table2[Shifts])</f>
        <v>77</v>
      </c>
      <c r="I11" s="4">
        <f>SUMIF(Jobs!A:A,Machines!A11,Jobs!K:K)</f>
        <v>514000</v>
      </c>
      <c r="T11" s="3" t="s">
        <v>99</v>
      </c>
      <c r="U11" s="2">
        <f>COUNTBLANK(Table3[Collet])</f>
        <v>1</v>
      </c>
      <c r="V11" s="2"/>
      <c r="W11" s="2"/>
    </row>
    <row r="12" spans="1:23" x14ac:dyDescent="0.25">
      <c r="A12" s="2" t="s">
        <v>129</v>
      </c>
      <c r="B12" s="3" t="s">
        <v>55</v>
      </c>
      <c r="C12" s="2"/>
      <c r="D12" s="2">
        <f>COUNTIFS(Table2[Mach'#],Table3[[#This Row],[Machine]],Table2[PPH],"&gt;0")</f>
        <v>1</v>
      </c>
      <c r="E12" s="2">
        <f>SUMIF(Table2[Mach'#],Table3[[#This Row],[Machine]],Table2[PPH])</f>
        <v>427</v>
      </c>
      <c r="F12" s="2">
        <f>IFERROR(ROUNDDOWN(Table3[[#This Row],[ToT PPH]]/Table3[[#This Row],['# Jobs]],0),"-")</f>
        <v>427</v>
      </c>
      <c r="G12" s="2">
        <f>_xlfn.MAXIFS(Table2[PPH],Table2[Mach'#],Table3[[#This Row],[Machine]])-_xlfn.MINIFS(Table2[PPH],Table2[Mach'#],Table3[[#This Row],[Machine]])</f>
        <v>0</v>
      </c>
      <c r="H12" s="2">
        <f>SUMIF(Table2[Mach'#],Table3[[#This Row],[Machine]],Table2[Shifts])</f>
        <v>52</v>
      </c>
      <c r="I12" s="4">
        <f>SUMIF(Jobs!A:A,Machines!A12,Jobs!K:K)</f>
        <v>225300</v>
      </c>
    </row>
    <row r="13" spans="1:23" x14ac:dyDescent="0.25">
      <c r="A13" s="2" t="s">
        <v>133</v>
      </c>
      <c r="B13" s="3" t="s">
        <v>66</v>
      </c>
      <c r="C13" s="2" t="s">
        <v>59</v>
      </c>
      <c r="D13" s="2">
        <f>COUNTIFS(Table2[Mach'#],Table3[[#This Row],[Machine]],Table2[PPH],"&gt;0")</f>
        <v>1</v>
      </c>
      <c r="E13" s="2">
        <f>SUMIF(Table2[Mach'#],Table3[[#This Row],[Machine]],Table2[PPH])</f>
        <v>197</v>
      </c>
      <c r="F13" s="2">
        <f>IFERROR(ROUNDDOWN(Table3[[#This Row],[ToT PPH]]/Table3[[#This Row],['# Jobs]],0),"-")</f>
        <v>197</v>
      </c>
      <c r="G13" s="2">
        <f>_xlfn.MAXIFS(Table2[PPH],Table2[Mach'#],Table3[[#This Row],[Machine]])-_xlfn.MINIFS(Table2[PPH],Table2[Mach'#],Table3[[#This Row],[Machine]])</f>
        <v>0</v>
      </c>
      <c r="H13" s="2">
        <f>SUMIF(Table2[Mach'#],Table3[[#This Row],[Machine]],Table2[Shifts])</f>
        <v>33</v>
      </c>
      <c r="I13" s="4">
        <f>SUMIF(Jobs!A:A,Machines!A13,Jobs!K:K)</f>
        <v>66900</v>
      </c>
    </row>
    <row r="14" spans="1:23" x14ac:dyDescent="0.25">
      <c r="A14" s="2" t="s">
        <v>135</v>
      </c>
      <c r="B14" s="3" t="s">
        <v>137</v>
      </c>
      <c r="C14" s="2" t="s">
        <v>3</v>
      </c>
      <c r="D14" s="2">
        <f>COUNTIFS(Table2[Mach'#],Table3[[#This Row],[Machine]],Table2[PPH],"&gt;0")</f>
        <v>1</v>
      </c>
      <c r="E14" s="2">
        <f>SUMIF(Table2[Mach'#],Table3[[#This Row],[Machine]],Table2[PPH])</f>
        <v>188</v>
      </c>
      <c r="F14" s="2">
        <f>IFERROR(ROUNDDOWN(Table3[[#This Row],[ToT PPH]]/Table3[[#This Row],['# Jobs]],0),"-")</f>
        <v>188</v>
      </c>
      <c r="G14" s="2">
        <f>_xlfn.MAXIFS(Table2[PPH],Table2[Mach'#],Table3[[#This Row],[Machine]])-_xlfn.MINIFS(Table2[PPH],Table2[Mach'#],Table3[[#This Row],[Machine]])</f>
        <v>0</v>
      </c>
      <c r="H14" s="2">
        <f>SUMIF(Table2[Mach'#],Table3[[#This Row],[Machine]],Table2[Shifts])</f>
        <v>102</v>
      </c>
      <c r="I14" s="4">
        <f>SUMIF(Jobs!A:A,Machines!A14,Jobs!K:K)</f>
        <v>193500</v>
      </c>
    </row>
    <row r="15" spans="1:23" x14ac:dyDescent="0.25">
      <c r="A15" s="2" t="s">
        <v>138</v>
      </c>
      <c r="B15" s="3" t="s">
        <v>122</v>
      </c>
      <c r="C15" s="2" t="s">
        <v>64</v>
      </c>
      <c r="D15" s="2">
        <f>COUNTIFS(Table2[Mach'#],Table3[[#This Row],[Machine]],Table2[PPH],"&gt;0")</f>
        <v>1</v>
      </c>
      <c r="E15" s="2">
        <f>SUMIF(Table2[Mach'#],Table3[[#This Row],[Machine]],Table2[PPH])</f>
        <v>769</v>
      </c>
      <c r="F15" s="2">
        <f>IFERROR(ROUNDDOWN(Table3[[#This Row],[ToT PPH]]/Table3[[#This Row],['# Jobs]],0),"-")</f>
        <v>769</v>
      </c>
      <c r="G15" s="2">
        <f>_xlfn.MAXIFS(Table2[PPH],Table2[Mach'#],Table3[[#This Row],[Machine]])-_xlfn.MINIFS(Table2[PPH],Table2[Mach'#],Table3[[#This Row],[Machine]])</f>
        <v>0</v>
      </c>
      <c r="H15" s="2">
        <f>SUMIF(Table2[Mach'#],Table3[[#This Row],[Machine]],Table2[Shifts])</f>
        <v>57</v>
      </c>
      <c r="I15" s="4">
        <f>SUMIF(Jobs!A:A,Machines!A15,Jobs!K:K)</f>
        <v>444000</v>
      </c>
    </row>
    <row r="16" spans="1:23" x14ac:dyDescent="0.25">
      <c r="A16" s="2" t="s">
        <v>140</v>
      </c>
      <c r="B16" s="3" t="s">
        <v>55</v>
      </c>
      <c r="C16" s="2" t="s">
        <v>59</v>
      </c>
      <c r="D16" s="2">
        <f>COUNTIFS(Table2[Mach'#],Table3[[#This Row],[Machine]],Table2[PPH],"&gt;0")</f>
        <v>1</v>
      </c>
      <c r="E16" s="2">
        <f>SUMIF(Table2[Mach'#],Table3[[#This Row],[Machine]],Table2[PPH])</f>
        <v>442</v>
      </c>
      <c r="F16" s="2">
        <f>IFERROR(ROUNDDOWN(Table3[[#This Row],[ToT PPH]]/Table3[[#This Row],['# Jobs]],0),"-")</f>
        <v>442</v>
      </c>
      <c r="G16" s="2">
        <f>_xlfn.MAXIFS(Table2[PPH],Table2[Mach'#],Table3[[#This Row],[Machine]])-_xlfn.MINIFS(Table2[PPH],Table2[Mach'#],Table3[[#This Row],[Machine]])</f>
        <v>0</v>
      </c>
      <c r="H16" s="2">
        <f>SUMIF(Table2[Mach'#],Table3[[#This Row],[Machine]],Table2[Shifts])</f>
        <v>55</v>
      </c>
      <c r="I16" s="4">
        <f>SUMIF(Jobs!A:A,Machines!A16,Jobs!K:K)</f>
        <v>245000</v>
      </c>
    </row>
    <row r="17" spans="1:9" x14ac:dyDescent="0.25">
      <c r="A17" s="2" t="s">
        <v>142</v>
      </c>
      <c r="B17" s="3" t="s">
        <v>71</v>
      </c>
      <c r="C17" s="2" t="s">
        <v>64</v>
      </c>
      <c r="D17" s="2">
        <f>COUNTIFS(Table2[Mach'#],Table3[[#This Row],[Machine]],Table2[PPH],"&gt;0")</f>
        <v>1</v>
      </c>
      <c r="E17" s="2">
        <f>SUMIF(Table2[Mach'#],Table3[[#This Row],[Machine]],Table2[PPH])</f>
        <v>695</v>
      </c>
      <c r="F17" s="2">
        <f>IFERROR(ROUNDDOWN(Table3[[#This Row],[ToT PPH]]/Table3[[#This Row],['# Jobs]],0),"-")</f>
        <v>695</v>
      </c>
      <c r="G17" s="2">
        <f>_xlfn.MAXIFS(Table2[PPH],Table2[Mach'#],Table3[[#This Row],[Machine]])-_xlfn.MINIFS(Table2[PPH],Table2[Mach'#],Table3[[#This Row],[Machine]])</f>
        <v>0</v>
      </c>
      <c r="H17" s="2">
        <f>SUMIF(Table2[Mach'#],Table3[[#This Row],[Machine]],Table2[Shifts])</f>
        <v>258</v>
      </c>
      <c r="I17" s="4">
        <f>SUMIF(Jobs!A:A,Machines!A17,Jobs!K:K)</f>
        <v>1795000</v>
      </c>
    </row>
    <row r="18" spans="1:9" x14ac:dyDescent="0.25">
      <c r="A18" s="2" t="s">
        <v>144</v>
      </c>
      <c r="B18" s="3" t="s">
        <v>119</v>
      </c>
      <c r="C18" s="2" t="s">
        <v>3</v>
      </c>
      <c r="D18" s="2">
        <f>COUNTIFS(Table2[Mach'#],Table3[[#This Row],[Machine]],Table2[PPH],"&gt;0")</f>
        <v>2</v>
      </c>
      <c r="E18" s="2">
        <f>SUMIF(Table2[Mach'#],Table3[[#This Row],[Machine]],Table2[PPH])</f>
        <v>1343</v>
      </c>
      <c r="F18" s="2">
        <f>IFERROR(ROUNDDOWN(Table3[[#This Row],[ToT PPH]]/Table3[[#This Row],['# Jobs]],0),"-")</f>
        <v>671</v>
      </c>
      <c r="G18" s="2">
        <f>_xlfn.MAXIFS(Table2[PPH],Table2[Mach'#],Table3[[#This Row],[Machine]])-_xlfn.MINIFS(Table2[PPH],Table2[Mach'#],Table3[[#This Row],[Machine]])</f>
        <v>107</v>
      </c>
      <c r="H18" s="2">
        <f>SUMIF(Table2[Mach'#],Table3[[#This Row],[Machine]],Table2[Shifts])</f>
        <v>167</v>
      </c>
      <c r="I18" s="4">
        <f>SUMIF(Jobs!A:A,Machines!A18,Jobs!K:K)</f>
        <v>1126400</v>
      </c>
    </row>
    <row r="19" spans="1:9" x14ac:dyDescent="0.25">
      <c r="A19" s="2" t="s">
        <v>146</v>
      </c>
      <c r="B19" s="3" t="s">
        <v>150</v>
      </c>
      <c r="C19" s="2" t="s">
        <v>64</v>
      </c>
      <c r="D19" s="2">
        <f>COUNTIFS(Table2[Mach'#],Table3[[#This Row],[Machine]],Table2[PPH],"&gt;0")</f>
        <v>1</v>
      </c>
      <c r="E19" s="2">
        <f>SUMIF(Table2[Mach'#],Table3[[#This Row],[Machine]],Table2[PPH])</f>
        <v>410</v>
      </c>
      <c r="F19" s="2">
        <f>IFERROR(ROUNDDOWN(Table3[[#This Row],[ToT PPH]]/Table3[[#This Row],['# Jobs]],0),"-")</f>
        <v>410</v>
      </c>
      <c r="G19" s="2">
        <f>_xlfn.MAXIFS(Table2[PPH],Table2[Mach'#],Table3[[#This Row],[Machine]])-_xlfn.MINIFS(Table2[PPH],Table2[Mach'#],Table3[[#This Row],[Machine]])</f>
        <v>0</v>
      </c>
      <c r="H19" s="2">
        <f>SUMIF(Table2[Mach'#],Table3[[#This Row],[Machine]],Table2[Shifts])</f>
        <v>98</v>
      </c>
      <c r="I19" s="4">
        <f>SUMIF(Jobs!A:A,Machines!A19,Jobs!K:K)</f>
        <v>404000</v>
      </c>
    </row>
    <row r="20" spans="1:9" x14ac:dyDescent="0.25">
      <c r="A20" s="2" t="s">
        <v>151</v>
      </c>
      <c r="B20" s="3" t="s">
        <v>159</v>
      </c>
      <c r="C20" s="2" t="s">
        <v>3</v>
      </c>
      <c r="D20" s="2">
        <f>COUNTIFS(Table2[Mach'#],Table3[[#This Row],[Machine]],Table2[PPH],"&gt;0")</f>
        <v>1</v>
      </c>
      <c r="E20" s="2">
        <f>SUMIF(Table2[Mach'#],Table3[[#This Row],[Machine]],Table2[PPH])</f>
        <v>199</v>
      </c>
      <c r="F20" s="2">
        <f>IFERROR(ROUNDDOWN(Table3[[#This Row],[ToT PPH]]/Table3[[#This Row],['# Jobs]],0),"-")</f>
        <v>199</v>
      </c>
      <c r="G20" s="2">
        <f>_xlfn.MAXIFS(Table2[PPH],Table2[Mach'#],Table3[[#This Row],[Machine]])-_xlfn.MINIFS(Table2[PPH],Table2[Mach'#],Table3[[#This Row],[Machine]])</f>
        <v>0</v>
      </c>
      <c r="H20" s="2">
        <f>SUMIF(Table2[Mach'#],Table3[[#This Row],[Machine]],Table2[Shifts])</f>
        <v>72</v>
      </c>
      <c r="I20" s="4">
        <f>SUMIF(Jobs!A:A,Machines!A20,Jobs!K:K)</f>
        <v>145000</v>
      </c>
    </row>
    <row r="21" spans="1:9" x14ac:dyDescent="0.25">
      <c r="A21" s="2" t="s">
        <v>101</v>
      </c>
      <c r="B21" s="3"/>
      <c r="C21" s="2"/>
      <c r="D21" s="2">
        <f>COUNTIFS(Table2[Mach'#],Table3[[#This Row],[Machine]],Table2[PPH],"&gt;0")</f>
        <v>2</v>
      </c>
      <c r="E21" s="2">
        <f>SUMIF(Table2[Mach'#],Table3[[#This Row],[Machine]],Table2[PPH])</f>
        <v>1326</v>
      </c>
      <c r="F21" s="2">
        <f>IFERROR(ROUNDDOWN(Table3[[#This Row],[ToT PPH]]/Table3[[#This Row],['# Jobs]],0),"-")</f>
        <v>663</v>
      </c>
      <c r="G21" s="2">
        <f>_xlfn.MAXIFS(Table2[PPH],Table2[Mach'#],Table3[[#This Row],[Machine]])-_xlfn.MINIFS(Table2[PPH],Table2[Mach'#],Table3[[#This Row],[Machine]])</f>
        <v>28</v>
      </c>
      <c r="H21" s="2">
        <f>SUMIF(Table2[Mach'#],Table3[[#This Row],[Machine]],Table2[Shifts])</f>
        <v>101</v>
      </c>
      <c r="I21" s="4">
        <f>SUMIF(Jobs!A:A,Machines!A21,Jobs!K:K)</f>
        <v>682500</v>
      </c>
    </row>
    <row r="22" spans="1:9" x14ac:dyDescent="0.25">
      <c r="A22" s="2" t="s">
        <v>102</v>
      </c>
      <c r="B22" s="3" t="s">
        <v>55</v>
      </c>
      <c r="C22" s="2"/>
      <c r="D22" s="2">
        <f>COUNTIFS(Table2[Mach'#],Table3[[#This Row],[Machine]],Table2[PPH],"&gt;0")</f>
        <v>1</v>
      </c>
      <c r="E22" s="2">
        <f>SUMIF(Table2[Mach'#],Table3[[#This Row],[Machine]],Table2[PPH])</f>
        <v>522</v>
      </c>
      <c r="F22" s="2">
        <f>IFERROR(ROUNDDOWN(Table3[[#This Row],[ToT PPH]]/Table3[[#This Row],['# Jobs]],0),"-")</f>
        <v>522</v>
      </c>
      <c r="G22" s="2">
        <f>_xlfn.MAXIFS(Table2[PPH],Table2[Mach'#],Table3[[#This Row],[Machine]])-_xlfn.MINIFS(Table2[PPH],Table2[Mach'#],Table3[[#This Row],[Machine]])</f>
        <v>0</v>
      </c>
      <c r="H22" s="2">
        <f>SUMIF(Table2[Mach'#],Table3[[#This Row],[Machine]],Table2[Shifts])</f>
        <v>68</v>
      </c>
      <c r="I22" s="4">
        <f>SUMIF(Jobs!A:A,Machines!A22,Jobs!K:K)</f>
        <v>357600</v>
      </c>
    </row>
    <row r="23" spans="1:9" x14ac:dyDescent="0.25">
      <c r="A23" s="2" t="s">
        <v>103</v>
      </c>
      <c r="B23" s="3" t="s">
        <v>118</v>
      </c>
      <c r="C23" s="2" t="s">
        <v>64</v>
      </c>
      <c r="D23" s="2">
        <f>COUNTIFS(Table2[Mach'#],Table3[[#This Row],[Machine]],Table2[PPH],"&gt;0")</f>
        <v>0</v>
      </c>
      <c r="E23" s="2">
        <f>SUMIF(Table2[Mach'#],Table3[[#This Row],[Machine]],Table2[PPH])</f>
        <v>0</v>
      </c>
      <c r="F23" s="2" t="str">
        <f>IFERROR(ROUNDDOWN(Table3[[#This Row],[ToT PPH]]/Table3[[#This Row],['# Jobs]],0),"-")</f>
        <v>-</v>
      </c>
      <c r="G23" s="2">
        <f>_xlfn.MAXIFS(Table2[PPH],Table2[Mach'#],Table3[[#This Row],[Machine]])-_xlfn.MINIFS(Table2[PPH],Table2[Mach'#],Table3[[#This Row],[Machine]])</f>
        <v>0</v>
      </c>
      <c r="H23" s="2">
        <f>SUMIF(Table2[Mach'#],Table3[[#This Row],[Machine]],Table2[Shifts])</f>
        <v>0</v>
      </c>
      <c r="I23" s="4">
        <f>SUMIF(Jobs!A:A,Machines!A23,Jobs!K:K)</f>
        <v>125000</v>
      </c>
    </row>
    <row r="24" spans="1:9" x14ac:dyDescent="0.25">
      <c r="A24" s="2" t="s">
        <v>76</v>
      </c>
      <c r="B24" s="3" t="s">
        <v>55</v>
      </c>
      <c r="C24" s="2" t="s">
        <v>59</v>
      </c>
      <c r="D24" s="2">
        <f>COUNTIFS(Table2[Mach'#],Table3[[#This Row],[Machine]],Table2[PPH],"&gt;0")</f>
        <v>3</v>
      </c>
      <c r="E24" s="2">
        <f>SUMIF(Table2[Mach'#],Table3[[#This Row],[Machine]],Table2[PPH])</f>
        <v>1971</v>
      </c>
      <c r="F24" s="2">
        <f>IFERROR(ROUNDDOWN(Table3[[#This Row],[ToT PPH]]/Table3[[#This Row],['# Jobs]],0),"-")</f>
        <v>657</v>
      </c>
      <c r="G24" s="2">
        <f>_xlfn.MAXIFS(Table2[PPH],Table2[Mach'#],Table3[[#This Row],[Machine]])-_xlfn.MINIFS(Table2[PPH],Table2[Mach'#],Table3[[#This Row],[Machine]])</f>
        <v>22</v>
      </c>
      <c r="H24" s="2">
        <f>SUMIF(Table2[Mach'#],Table3[[#This Row],[Machine]],Table2[Shifts])</f>
        <v>164</v>
      </c>
      <c r="I24" s="4">
        <f>SUMIF(Jobs!A:A,Machines!A24,Jobs!K:K)</f>
        <v>1084400</v>
      </c>
    </row>
    <row r="25" spans="1:9" x14ac:dyDescent="0.25">
      <c r="A25" s="2" t="s">
        <v>77</v>
      </c>
      <c r="B25" s="3" t="s">
        <v>55</v>
      </c>
      <c r="C25" s="2" t="s">
        <v>59</v>
      </c>
      <c r="D25" s="2">
        <f>COUNTIFS(Table2[Mach'#],Table3[[#This Row],[Machine]],Table2[PPH],"&gt;0")</f>
        <v>3</v>
      </c>
      <c r="E25" s="2">
        <f>SUMIF(Table2[Mach'#],Table3[[#This Row],[Machine]],Table2[PPH])</f>
        <v>1893</v>
      </c>
      <c r="F25" s="2">
        <f>IFERROR(ROUNDDOWN(Table3[[#This Row],[ToT PPH]]/Table3[[#This Row],['# Jobs]],0),"-")</f>
        <v>631</v>
      </c>
      <c r="G25" s="2">
        <f>_xlfn.MAXIFS(Table2[PPH],Table2[Mach'#],Table3[[#This Row],[Machine]])-_xlfn.MINIFS(Table2[PPH],Table2[Mach'#],Table3[[#This Row],[Machine]])</f>
        <v>27</v>
      </c>
      <c r="H25" s="2">
        <f>SUMIF(Table2[Mach'#],Table3[[#This Row],[Machine]],Table2[Shifts])</f>
        <v>191</v>
      </c>
      <c r="I25" s="4">
        <f>SUMIF(Jobs!A:A,Machines!A25,Jobs!K:K)</f>
        <v>1210800</v>
      </c>
    </row>
    <row r="26" spans="1:9" x14ac:dyDescent="0.25">
      <c r="A26" s="2" t="s">
        <v>78</v>
      </c>
      <c r="B26" s="3" t="s">
        <v>62</v>
      </c>
      <c r="C26" s="2" t="s">
        <v>59</v>
      </c>
      <c r="D26" s="2">
        <f>COUNTIFS(Table2[Mach'#],Table3[[#This Row],[Machine]],Table2[PPH],"&gt;0")</f>
        <v>2</v>
      </c>
      <c r="E26" s="2">
        <f>SUMIF(Table2[Mach'#],Table3[[#This Row],[Machine]],Table2[PPH])</f>
        <v>1172</v>
      </c>
      <c r="F26" s="2">
        <f>IFERROR(ROUNDDOWN(Table3[[#This Row],[ToT PPH]]/Table3[[#This Row],['# Jobs]],0),"-")</f>
        <v>586</v>
      </c>
      <c r="G26" s="2">
        <f>_xlfn.MAXIFS(Table2[PPH],Table2[Mach'#],Table3[[#This Row],[Machine]])-_xlfn.MINIFS(Table2[PPH],Table2[Mach'#],Table3[[#This Row],[Machine]])</f>
        <v>2</v>
      </c>
      <c r="H26" s="2">
        <f>SUMIF(Table2[Mach'#],Table3[[#This Row],[Machine]],Table2[Shifts])</f>
        <v>91</v>
      </c>
      <c r="I26" s="4">
        <f>SUMIF(Jobs!A:A,Machines!A26,Jobs!K:K)</f>
        <v>542400</v>
      </c>
    </row>
    <row r="27" spans="1:9" x14ac:dyDescent="0.25">
      <c r="A27" s="2" t="s">
        <v>79</v>
      </c>
      <c r="B27" s="3" t="s">
        <v>67</v>
      </c>
      <c r="C27" s="2" t="s">
        <v>3</v>
      </c>
      <c r="D27" s="2">
        <f>COUNTIFS(Table2[Mach'#],Table3[[#This Row],[Machine]],Table2[PPH],"&gt;0")</f>
        <v>2</v>
      </c>
      <c r="E27" s="2">
        <f>SUMIF(Table2[Mach'#],Table3[[#This Row],[Machine]],Table2[PPH])</f>
        <v>1241</v>
      </c>
      <c r="F27" s="2">
        <f>IFERROR(ROUNDDOWN(Table3[[#This Row],[ToT PPH]]/Table3[[#This Row],['# Jobs]],0),"-")</f>
        <v>620</v>
      </c>
      <c r="G27" s="2">
        <f>_xlfn.MAXIFS(Table2[PPH],Table2[Mach'#],Table3[[#This Row],[Machine]])-_xlfn.MINIFS(Table2[PPH],Table2[Mach'#],Table3[[#This Row],[Machine]])</f>
        <v>55</v>
      </c>
      <c r="H27" s="2">
        <f>SUMIF(Table2[Mach'#],Table3[[#This Row],[Machine]],Table2[Shifts])</f>
        <v>62</v>
      </c>
      <c r="I27" s="4">
        <f>SUMIF(Jobs!A:A,Machines!A27,Jobs!K:K)</f>
        <v>406400</v>
      </c>
    </row>
    <row r="28" spans="1:9" x14ac:dyDescent="0.25">
      <c r="A28" s="2" t="s">
        <v>80</v>
      </c>
      <c r="B28" s="3" t="s">
        <v>62</v>
      </c>
      <c r="C28" s="2" t="s">
        <v>59</v>
      </c>
      <c r="D28" s="2">
        <f>COUNTIFS(Table2[Mach'#],Table3[[#This Row],[Machine]],Table2[PPH],"&gt;0")</f>
        <v>2</v>
      </c>
      <c r="E28" s="2">
        <f>SUMIF(Table2[Mach'#],Table3[[#This Row],[Machine]],Table2[PPH])</f>
        <v>1223</v>
      </c>
      <c r="F28" s="2">
        <f>IFERROR(ROUNDDOWN(Table3[[#This Row],[ToT PPH]]/Table3[[#This Row],['# Jobs]],0),"-")</f>
        <v>611</v>
      </c>
      <c r="G28" s="2">
        <f>_xlfn.MAXIFS(Table2[PPH],Table2[Mach'#],Table3[[#This Row],[Machine]])-_xlfn.MINIFS(Table2[PPH],Table2[Mach'#],Table3[[#This Row],[Machine]])</f>
        <v>61</v>
      </c>
      <c r="H28" s="2">
        <f>SUMIF(Table2[Mach'#],Table3[[#This Row],[Machine]],Table2[Shifts])</f>
        <v>122</v>
      </c>
      <c r="I28" s="4">
        <f>SUMIF(Jobs!A:A,Machines!A28,Jobs!K:K)</f>
        <v>771050</v>
      </c>
    </row>
    <row r="29" spans="1:9" x14ac:dyDescent="0.25">
      <c r="A29" s="2" t="s">
        <v>81</v>
      </c>
      <c r="B29" s="3" t="s">
        <v>63</v>
      </c>
      <c r="C29" s="2"/>
      <c r="D29" s="2">
        <f>COUNTIFS(Table2[Mach'#],Table3[[#This Row],[Machine]],Table2[PPH],"&gt;0")</f>
        <v>4</v>
      </c>
      <c r="E29" s="2">
        <f>SUMIF(Table2[Mach'#],Table3[[#This Row],[Machine]],Table2[PPH])</f>
        <v>2338</v>
      </c>
      <c r="F29" s="2">
        <f>IFERROR(ROUNDDOWN(Table3[[#This Row],[ToT PPH]]/Table3[[#This Row],['# Jobs]],0),"-")</f>
        <v>584</v>
      </c>
      <c r="G29" s="2">
        <f>_xlfn.MAXIFS(Table2[PPH],Table2[Mach'#],Table3[[#This Row],[Machine]])-_xlfn.MINIFS(Table2[PPH],Table2[Mach'#],Table3[[#This Row],[Machine]])</f>
        <v>94</v>
      </c>
      <c r="H29" s="2">
        <f>SUMIF(Table2[Mach'#],Table3[[#This Row],[Machine]],Table2[Shifts])</f>
        <v>22</v>
      </c>
      <c r="I29" s="4">
        <f>SUMIF(Jobs!A:A,Machines!A29,Jobs!K:K)</f>
        <v>137600</v>
      </c>
    </row>
    <row r="30" spans="1:9" x14ac:dyDescent="0.25">
      <c r="A30" s="2" t="s">
        <v>82</v>
      </c>
      <c r="B30" s="3" t="s">
        <v>71</v>
      </c>
      <c r="C30" s="2" t="s">
        <v>64</v>
      </c>
      <c r="D30" s="2">
        <f>COUNTIFS(Table2[Mach'#],Table3[[#This Row],[Machine]],Table2[PPH],"&gt;0")</f>
        <v>1</v>
      </c>
      <c r="E30" s="2">
        <f>SUMIF(Table2[Mach'#],Table3[[#This Row],[Machine]],Table2[PPH])</f>
        <v>750</v>
      </c>
      <c r="F30" s="2">
        <f>IFERROR(ROUNDDOWN(Table3[[#This Row],[ToT PPH]]/Table3[[#This Row],['# Jobs]],0),"-")</f>
        <v>750</v>
      </c>
      <c r="G30" s="2">
        <f>_xlfn.MAXIFS(Table2[PPH],Table2[Mach'#],Table3[[#This Row],[Machine]])-_xlfn.MINIFS(Table2[PPH],Table2[Mach'#],Table3[[#This Row],[Machine]])</f>
        <v>0</v>
      </c>
      <c r="H30" s="2">
        <f>SUMIF(Table2[Mach'#],Table3[[#This Row],[Machine]],Table2[Shifts])</f>
        <v>91</v>
      </c>
      <c r="I30" s="4">
        <f>SUMIF(Jobs!A:A,Machines!A30,Jobs!K:K)</f>
        <v>688000</v>
      </c>
    </row>
    <row r="31" spans="1:9" x14ac:dyDescent="0.25">
      <c r="A31" s="2" t="s">
        <v>83</v>
      </c>
      <c r="B31" s="3" t="s">
        <v>72</v>
      </c>
      <c r="C31" s="2" t="s">
        <v>59</v>
      </c>
      <c r="D31" s="2">
        <f>COUNTIFS(Table2[Mach'#],Table3[[#This Row],[Machine]],Table2[PPH],"&gt;0")</f>
        <v>3</v>
      </c>
      <c r="E31" s="2">
        <f>SUMIF(Table2[Mach'#],Table3[[#This Row],[Machine]],Table2[PPH])</f>
        <v>2202</v>
      </c>
      <c r="F31" s="2">
        <f>IFERROR(ROUNDDOWN(Table3[[#This Row],[ToT PPH]]/Table3[[#This Row],['# Jobs]],0),"-")</f>
        <v>734</v>
      </c>
      <c r="G31" s="2">
        <f>_xlfn.MAXIFS(Table2[PPH],Table2[Mach'#],Table3[[#This Row],[Machine]])-_xlfn.MINIFS(Table2[PPH],Table2[Mach'#],Table3[[#This Row],[Machine]])</f>
        <v>55</v>
      </c>
      <c r="H31" s="2">
        <f>SUMIF(Table2[Mach'#],Table3[[#This Row],[Machine]],Table2[Shifts])</f>
        <v>124</v>
      </c>
      <c r="I31" s="4">
        <f>SUMIF(Jobs!A:A,Machines!A31,Jobs!K:K)</f>
        <v>943300</v>
      </c>
    </row>
    <row r="32" spans="1:9" x14ac:dyDescent="0.25">
      <c r="A32" s="2" t="s">
        <v>84</v>
      </c>
      <c r="B32" s="3" t="s">
        <v>71</v>
      </c>
      <c r="C32" s="2" t="s">
        <v>64</v>
      </c>
      <c r="D32" s="2">
        <f>COUNTIFS(Table2[Mach'#],Table3[[#This Row],[Machine]],Table2[PPH],"&gt;0")</f>
        <v>1</v>
      </c>
      <c r="E32" s="2">
        <f>SUMIF(Table2[Mach'#],Table3[[#This Row],[Machine]],Table2[PPH])</f>
        <v>727</v>
      </c>
      <c r="F32" s="2">
        <f>IFERROR(ROUNDDOWN(Table3[[#This Row],[ToT PPH]]/Table3[[#This Row],['# Jobs]],0),"-")</f>
        <v>727</v>
      </c>
      <c r="G32" s="2">
        <f>_xlfn.MAXIFS(Table2[PPH],Table2[Mach'#],Table3[[#This Row],[Machine]])-_xlfn.MINIFS(Table2[PPH],Table2[Mach'#],Table3[[#This Row],[Machine]])</f>
        <v>0</v>
      </c>
      <c r="H32" s="2">
        <f>SUMIF(Table2[Mach'#],Table3[[#This Row],[Machine]],Table2[Shifts])</f>
        <v>196</v>
      </c>
      <c r="I32" s="4">
        <f>SUMIF(Jobs!A:A,Machines!A32,Jobs!K:K)</f>
        <v>1430500</v>
      </c>
    </row>
    <row r="33" spans="1:9" x14ac:dyDescent="0.25">
      <c r="A33" s="2" t="s">
        <v>85</v>
      </c>
      <c r="B33" s="3" t="s">
        <v>72</v>
      </c>
      <c r="C33" s="2" t="s">
        <v>59</v>
      </c>
      <c r="D33" s="2">
        <f>COUNTIFS(Table2[Mach'#],Table3[[#This Row],[Machine]],Table2[PPH],"&gt;0")</f>
        <v>3</v>
      </c>
      <c r="E33" s="2">
        <f>SUMIF(Table2[Mach'#],Table3[[#This Row],[Machine]],Table2[PPH])</f>
        <v>1850</v>
      </c>
      <c r="F33" s="2">
        <f>IFERROR(ROUNDDOWN(Table3[[#This Row],[ToT PPH]]/Table3[[#This Row],['# Jobs]],0),"-")</f>
        <v>616</v>
      </c>
      <c r="G33" s="2">
        <f>_xlfn.MAXIFS(Table2[PPH],Table2[Mach'#],Table3[[#This Row],[Machine]])-_xlfn.MINIFS(Table2[PPH],Table2[Mach'#],Table3[[#This Row],[Machine]])</f>
        <v>108</v>
      </c>
      <c r="H33" s="2">
        <f>SUMIF(Table2[Mach'#],Table3[[#This Row],[Machine]],Table2[Shifts])</f>
        <v>19</v>
      </c>
      <c r="I33" s="4">
        <f>SUMIF(Jobs!A:A,Machines!A33,Jobs!K:K)</f>
        <v>129500</v>
      </c>
    </row>
    <row r="34" spans="1:9" x14ac:dyDescent="0.25">
      <c r="A34" s="2" t="s">
        <v>86</v>
      </c>
      <c r="B34" s="3" t="s">
        <v>74</v>
      </c>
      <c r="C34" s="2" t="s">
        <v>64</v>
      </c>
      <c r="D34" s="2">
        <f>COUNTIFS(Table2[Mach'#],Table3[[#This Row],[Machine]],Table2[PPH],"&gt;0")</f>
        <v>2</v>
      </c>
      <c r="E34" s="2">
        <f>SUMIF(Table2[Mach'#],Table3[[#This Row],[Machine]],Table2[PPH])</f>
        <v>1449</v>
      </c>
      <c r="F34" s="2">
        <f>IFERROR(ROUNDDOWN(Table3[[#This Row],[ToT PPH]]/Table3[[#This Row],['# Jobs]],0),"-")</f>
        <v>724</v>
      </c>
      <c r="G34" s="2">
        <f>_xlfn.MAXIFS(Table2[PPH],Table2[Mach'#],Table3[[#This Row],[Machine]])-_xlfn.MINIFS(Table2[PPH],Table2[Mach'#],Table3[[#This Row],[Machine]])</f>
        <v>141</v>
      </c>
      <c r="H34" s="2">
        <f>SUMIF(Table2[Mach'#],Table3[[#This Row],[Machine]],Table2[Shifts])</f>
        <v>89</v>
      </c>
      <c r="I34" s="4">
        <f>SUMIF(Jobs!A:A,Machines!A34,Jobs!K:K)</f>
        <v>639800</v>
      </c>
    </row>
    <row r="35" spans="1:9" x14ac:dyDescent="0.25">
      <c r="A35" s="2" t="s">
        <v>87</v>
      </c>
      <c r="B35" s="3" t="s">
        <v>63</v>
      </c>
      <c r="C35" s="2" t="s">
        <v>3</v>
      </c>
      <c r="D35" s="2">
        <f>COUNTIFS(Table2[Mach'#],Table3[[#This Row],[Machine]],Table2[PPH],"&gt;0")</f>
        <v>4</v>
      </c>
      <c r="E35" s="2">
        <f>SUMIF(Table2[Mach'#],Table3[[#This Row],[Machine]],Table2[PPH])</f>
        <v>2051</v>
      </c>
      <c r="F35" s="2">
        <f>IFERROR(ROUNDDOWN(Table3[[#This Row],[ToT PPH]]/Table3[[#This Row],['# Jobs]],0),"-")</f>
        <v>512</v>
      </c>
      <c r="G35" s="2">
        <f>_xlfn.MAXIFS(Table2[PPH],Table2[Mach'#],Table3[[#This Row],[Machine]])-_xlfn.MINIFS(Table2[PPH],Table2[Mach'#],Table3[[#This Row],[Machine]])</f>
        <v>256</v>
      </c>
      <c r="H35" s="2">
        <f>SUMIF(Table2[Mach'#],Table3[[#This Row],[Machine]],Table2[Shifts])</f>
        <v>146</v>
      </c>
      <c r="I35" s="4">
        <f>SUMIF(Jobs!A:A,Machines!A35,Jobs!K:K)</f>
        <v>827440</v>
      </c>
    </row>
    <row r="36" spans="1:9" x14ac:dyDescent="0.25">
      <c r="A36" s="2" t="s">
        <v>88</v>
      </c>
      <c r="B36" s="3" t="s">
        <v>71</v>
      </c>
      <c r="C36" s="2" t="s">
        <v>64</v>
      </c>
      <c r="D36" s="2">
        <f>COUNTIFS(Table2[Mach'#],Table3[[#This Row],[Machine]],Table2[PPH],"&gt;0")</f>
        <v>1</v>
      </c>
      <c r="E36" s="2">
        <f>SUMIF(Table2[Mach'#],Table3[[#This Row],[Machine]],Table2[PPH])</f>
        <v>887</v>
      </c>
      <c r="F36" s="2">
        <f>IFERROR(ROUNDDOWN(Table3[[#This Row],[ToT PPH]]/Table3[[#This Row],['# Jobs]],0),"-")</f>
        <v>887</v>
      </c>
      <c r="G36" s="2">
        <f>_xlfn.MAXIFS(Table2[PPH],Table2[Mach'#],Table3[[#This Row],[Machine]])-_xlfn.MINIFS(Table2[PPH],Table2[Mach'#],Table3[[#This Row],[Machine]])</f>
        <v>0</v>
      </c>
      <c r="H36" s="2">
        <f>SUMIF(Table2[Mach'#],Table3[[#This Row],[Machine]],Table2[Shifts])</f>
        <v>165</v>
      </c>
      <c r="I36" s="4">
        <f>SUMIF(Jobs!A:A,Machines!A36,Jobs!K:K)</f>
        <v>1466000</v>
      </c>
    </row>
    <row r="37" spans="1:9" x14ac:dyDescent="0.25">
      <c r="A37" s="2" t="s">
        <v>89</v>
      </c>
      <c r="B37" s="3" t="s">
        <v>62</v>
      </c>
      <c r="C37" s="2" t="s">
        <v>59</v>
      </c>
      <c r="D37" s="2">
        <f>COUNTIFS(Table2[Mach'#],Table3[[#This Row],[Machine]],Table2[PPH],"&gt;0")</f>
        <v>2</v>
      </c>
      <c r="E37" s="2">
        <f>SUMIF(Table2[Mach'#],Table3[[#This Row],[Machine]],Table2[PPH])</f>
        <v>1324</v>
      </c>
      <c r="F37" s="2">
        <f>IFERROR(ROUNDDOWN(Table3[[#This Row],[ToT PPH]]/Table3[[#This Row],['# Jobs]],0),"-")</f>
        <v>662</v>
      </c>
      <c r="G37" s="2">
        <f>_xlfn.MAXIFS(Table2[PPH],Table2[Mach'#],Table3[[#This Row],[Machine]])-_xlfn.MINIFS(Table2[PPH],Table2[Mach'#],Table3[[#This Row],[Machine]])</f>
        <v>74</v>
      </c>
      <c r="H37" s="2">
        <f>SUMIF(Table2[Mach'#],Table3[[#This Row],[Machine]],Table2[Shifts])</f>
        <v>126</v>
      </c>
      <c r="I37" s="4">
        <f>SUMIF(Jobs!A:A,Machines!A37,Jobs!K:K)</f>
        <v>866900</v>
      </c>
    </row>
    <row r="38" spans="1:9" x14ac:dyDescent="0.25">
      <c r="A38" s="2" t="s">
        <v>90</v>
      </c>
      <c r="B38" s="3" t="s">
        <v>66</v>
      </c>
      <c r="C38" s="2" t="s">
        <v>59</v>
      </c>
      <c r="D38" s="2">
        <f>COUNTIFS(Table2[Mach'#],Table3[[#This Row],[Machine]],Table2[PPH],"&gt;0")</f>
        <v>5</v>
      </c>
      <c r="E38" s="2">
        <f>SUMIF(Table2[Mach'#],Table3[[#This Row],[Machine]],Table2[PPH])</f>
        <v>2906</v>
      </c>
      <c r="F38" s="2">
        <f>IFERROR(ROUNDDOWN(Table3[[#This Row],[ToT PPH]]/Table3[[#This Row],['# Jobs]],0),"-")</f>
        <v>581</v>
      </c>
      <c r="G38" s="2">
        <f>_xlfn.MAXIFS(Table2[PPH],Table2[Mach'#],Table3[[#This Row],[Machine]])-_xlfn.MINIFS(Table2[PPH],Table2[Mach'#],Table3[[#This Row],[Machine]])</f>
        <v>139</v>
      </c>
      <c r="H38" s="2">
        <f>SUMIF(Table2[Mach'#],Table3[[#This Row],[Machine]],Table2[Shifts])</f>
        <v>35</v>
      </c>
      <c r="I38" s="4">
        <f>SUMIF(Jobs!A:A,Machines!A38,Jobs!K:K)</f>
        <v>220100</v>
      </c>
    </row>
    <row r="39" spans="1:9" x14ac:dyDescent="0.25">
      <c r="A39" s="2" t="s">
        <v>91</v>
      </c>
      <c r="B39" s="3" t="s">
        <v>68</v>
      </c>
      <c r="C39" s="2" t="s">
        <v>3</v>
      </c>
      <c r="D39" s="2">
        <f>COUNTIFS(Table2[Mach'#],Table3[[#This Row],[Machine]],Table2[PPH],"&gt;0")</f>
        <v>3</v>
      </c>
      <c r="E39" s="2">
        <f>SUMIF(Table2[Mach'#],Table3[[#This Row],[Machine]],Table2[PPH])</f>
        <v>1880</v>
      </c>
      <c r="F39" s="2">
        <f>IFERROR(ROUNDDOWN(Table3[[#This Row],[ToT PPH]]/Table3[[#This Row],['# Jobs]],0),"-")</f>
        <v>626</v>
      </c>
      <c r="G39" s="2">
        <f>_xlfn.MAXIFS(Table2[PPH],Table2[Mach'#],Table3[[#This Row],[Machine]])-_xlfn.MINIFS(Table2[PPH],Table2[Mach'#],Table3[[#This Row],[Machine]])</f>
        <v>133</v>
      </c>
      <c r="H39" s="2">
        <f>SUMIF(Table2[Mach'#],Table3[[#This Row],[Machine]],Table2[Shifts])</f>
        <v>107</v>
      </c>
      <c r="I39" s="4">
        <f>SUMIF(Jobs!A:A,Machines!A39,Jobs!K:K)</f>
        <v>728500</v>
      </c>
    </row>
    <row r="40" spans="1:9" x14ac:dyDescent="0.25">
      <c r="A40" s="2" t="s">
        <v>92</v>
      </c>
      <c r="B40" s="3" t="s">
        <v>62</v>
      </c>
      <c r="C40" s="2" t="s">
        <v>3</v>
      </c>
      <c r="D40" s="2">
        <f>COUNTIFS(Table2[Mach'#],Table3[[#This Row],[Machine]],Table2[PPH],"&gt;0")</f>
        <v>4</v>
      </c>
      <c r="E40" s="2">
        <f>SUMIF(Table2[Mach'#],Table3[[#This Row],[Machine]],Table2[PPH])</f>
        <v>2090</v>
      </c>
      <c r="F40" s="2">
        <f>IFERROR(ROUNDDOWN(Table3[[#This Row],[ToT PPH]]/Table3[[#This Row],['# Jobs]],0),"-")</f>
        <v>522</v>
      </c>
      <c r="G40" s="2">
        <f>_xlfn.MAXIFS(Table2[PPH],Table2[Mach'#],Table3[[#This Row],[Machine]])-_xlfn.MINIFS(Table2[PPH],Table2[Mach'#],Table3[[#This Row],[Machine]])</f>
        <v>81</v>
      </c>
      <c r="H40" s="2">
        <f>SUMIF(Table2[Mach'#],Table3[[#This Row],[Machine]],Table2[Shifts])</f>
        <v>99</v>
      </c>
      <c r="I40" s="4">
        <f>SUMIF(Jobs!A:A,Machines!A40,Jobs!K:K)</f>
        <v>533900</v>
      </c>
    </row>
    <row r="41" spans="1:9" x14ac:dyDescent="0.25">
      <c r="A41" s="2" t="s">
        <v>93</v>
      </c>
      <c r="B41" s="3" t="s">
        <v>55</v>
      </c>
      <c r="C41" s="2" t="s">
        <v>3</v>
      </c>
      <c r="D41" s="2">
        <f>COUNTIFS(Table2[Mach'#],Table3[[#This Row],[Machine]],Table2[PPH],"&gt;0")</f>
        <v>2</v>
      </c>
      <c r="E41" s="2">
        <f>SUMIF(Table2[Mach'#],Table3[[#This Row],[Machine]],Table2[PPH])</f>
        <v>1193</v>
      </c>
      <c r="F41" s="2">
        <f>IFERROR(ROUNDDOWN(Table3[[#This Row],[ToT PPH]]/Table3[[#This Row],['# Jobs]],0),"-")</f>
        <v>596</v>
      </c>
      <c r="G41" s="2">
        <f>_xlfn.MAXIFS(Table2[PPH],Table2[Mach'#],Table3[[#This Row],[Machine]])-_xlfn.MINIFS(Table2[PPH],Table2[Mach'#],Table3[[#This Row],[Machine]])</f>
        <v>13</v>
      </c>
      <c r="H41" s="2">
        <f>SUMIF(Table2[Mach'#],Table3[[#This Row],[Machine]],Table2[Shifts])</f>
        <v>55</v>
      </c>
      <c r="I41" s="4">
        <f>SUMIF(Jobs!A:A,Machines!A41,Jobs!K:K)</f>
        <v>334800</v>
      </c>
    </row>
    <row r="42" spans="1:9" x14ac:dyDescent="0.25">
      <c r="A42" s="2" t="s">
        <v>94</v>
      </c>
      <c r="B42" s="3" t="s">
        <v>62</v>
      </c>
      <c r="C42" s="2" t="s">
        <v>64</v>
      </c>
      <c r="D42" s="2">
        <f>COUNTIFS(Table2[Mach'#],Table3[[#This Row],[Machine]],Table2[PPH],"&gt;0")</f>
        <v>1</v>
      </c>
      <c r="E42" s="2">
        <f>SUMIF(Table2[Mach'#],Table3[[#This Row],[Machine]],Table2[PPH])</f>
        <v>589</v>
      </c>
      <c r="F42" s="2">
        <f>IFERROR(ROUNDDOWN(Table3[[#This Row],[ToT PPH]]/Table3[[#This Row],['# Jobs]],0),"-")</f>
        <v>589</v>
      </c>
      <c r="G42" s="2">
        <f>_xlfn.MAXIFS(Table2[PPH],Table2[Mach'#],Table3[[#This Row],[Machine]])-_xlfn.MINIFS(Table2[PPH],Table2[Mach'#],Table3[[#This Row],[Machine]])</f>
        <v>0</v>
      </c>
      <c r="H42" s="2">
        <f>SUMIF(Table2[Mach'#],Table3[[#This Row],[Machine]],Table2[Shifts])</f>
        <v>134</v>
      </c>
      <c r="I42" s="4">
        <f>SUMIF(Jobs!A:A,Machines!A42,Jobs!K:K)</f>
        <v>794400</v>
      </c>
    </row>
    <row r="43" spans="1:9" x14ac:dyDescent="0.25">
      <c r="A43" s="2"/>
      <c r="B43" s="3"/>
      <c r="C43" s="2"/>
      <c r="D43" s="2"/>
      <c r="E43" s="2"/>
      <c r="F43" s="2"/>
      <c r="G43" s="2"/>
      <c r="H43" s="2"/>
      <c r="I43" s="4"/>
    </row>
    <row r="44" spans="1:9" x14ac:dyDescent="0.25">
      <c r="A44" s="2"/>
      <c r="B44" s="3"/>
      <c r="C44" s="2"/>
      <c r="D44" s="2"/>
      <c r="E44" s="2"/>
      <c r="F44" s="2"/>
      <c r="G44" s="2"/>
      <c r="H44" s="2"/>
      <c r="I44" s="4"/>
    </row>
    <row r="45" spans="1:9" x14ac:dyDescent="0.25">
      <c r="H45" s="42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</sheetData>
  <phoneticPr fontId="2" type="noConversion"/>
  <conditionalFormatting sqref="G44:H44 G2:G43 G47:H1048576 H46">
    <cfRule type="cellIs" dxfId="23" priority="2" operator="greaterThan">
      <formula>40</formula>
    </cfRule>
  </conditionalFormatting>
  <conditionalFormatting sqref="F2 F21:F42 F4:F12 F15:F19">
    <cfRule type="cellIs" dxfId="22" priority="1" operator="lessThan">
      <formula>600</formula>
    </cfRule>
  </conditionalFormatting>
  <pageMargins left="0.7" right="0.7" top="0.75" bottom="0.75" header="0.3" footer="0.3"/>
  <pageSetup scale="85" fitToHeight="0" orientation="portrait" r:id="rId1"/>
  <ignoredErrors>
    <ignoredError sqref="B23 B29 B35" numberStoredAsText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Jobs</vt:lpstr>
      <vt:lpstr>Machines</vt:lpstr>
      <vt:lpstr>Jobs!Print_Area</vt:lpstr>
      <vt:lpstr>Machines!Print_Area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Dustin Halldow</dc:creator>
  <cp:lastModifiedBy>Dustin Halldow</cp:lastModifiedBy>
  <cp:lastPrinted>2023-03-01T14:23:04Z</cp:lastPrinted>
  <dcterms:created xsi:type="dcterms:W3CDTF">2022-03-01T15:56:06Z</dcterms:created>
  <dcterms:modified xsi:type="dcterms:W3CDTF">2023-03-01T17:07:04Z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">
    <vt:lpwstr>08/15/2022</vt:lpwstr>
  </property>
  <property fmtid="{D5CDD505-2E9C-101B-9397-08002B2CF9AE}" pid="3" name="Rev_Date">
    <vt:lpwstr>08/15/2022</vt:lpwstr>
  </property>
</Properties>
</file>